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<sst xmlns="http://schemas.openxmlformats.org/spreadsheetml/2006/main" count="18222" uniqueCount="1416">
  <si>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</si>
  <si>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</si>
  <si>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</si>
  <si>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</si>
  <si>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</si>
  <si>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</si>
  <si>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</si>
  <si>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</si>
  <si>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</si>
  <si>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</si>
  <si>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</si>
  <si>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</si>
  <si>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</si>
  <si>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</si>
  <si>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</si>
  <si>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</si>
  <si>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</si>
  <si>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</si>
  <si>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</si>
  <si>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</si>
  <si>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</si>
  <si>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YDEX</t>
  </si>
  <si>
    <t>ЯНДЕКС</t>
  </si>
  <si>
    <t>BYN</t>
  </si>
  <si>
    <t>PLZL</t>
  </si>
  <si>
    <t>Полюс</t>
  </si>
  <si>
    <t>CAD</t>
  </si>
  <si>
    <t>T</t>
  </si>
  <si>
    <t>Т-Техно ао</t>
  </si>
  <si>
    <t>CHF</t>
  </si>
  <si>
    <t>SBERP</t>
  </si>
  <si>
    <t>Сбербанк-п</t>
  </si>
  <si>
    <t>CNY</t>
  </si>
  <si>
    <t>GAZP</t>
  </si>
  <si>
    <t>ГАЗПРОМ ао</t>
  </si>
  <si>
    <t>EUR</t>
  </si>
  <si>
    <t>MOEX</t>
  </si>
  <si>
    <t>МосБиржа</t>
  </si>
  <si>
    <t>GBP</t>
  </si>
  <si>
    <t>TATN</t>
  </si>
  <si>
    <t>Татнфт 3ао</t>
  </si>
  <si>
    <t>GLD</t>
  </si>
  <si>
    <t>IRAO</t>
  </si>
  <si>
    <t>ИнтерРАОао</t>
  </si>
  <si>
    <t>HKD</t>
  </si>
  <si>
    <t>MTSS</t>
  </si>
  <si>
    <t>МТС-ао</t>
  </si>
  <si>
    <t>JPY</t>
  </si>
  <si>
    <t>PIKK</t>
  </si>
  <si>
    <t>ПИК ао</t>
  </si>
  <si>
    <t>KZT</t>
  </si>
  <si>
    <t>VTBR</t>
  </si>
  <si>
    <t>ВТБ ао</t>
  </si>
  <si>
    <t>SNGSP</t>
  </si>
  <si>
    <t>Сургнфгз-п</t>
  </si>
  <si>
    <t>SLV</t>
  </si>
  <si>
    <t>BSPB</t>
  </si>
  <si>
    <t>БСП ао</t>
  </si>
  <si>
    <t>TRY</t>
  </si>
  <si>
    <t>AFLT</t>
  </si>
  <si>
    <t>Аэрофлот</t>
  </si>
  <si>
    <t>UAH</t>
  </si>
  <si>
    <t>RTKM</t>
  </si>
  <si>
    <t>Ростел -ао</t>
  </si>
  <si>
    <t>USD</t>
  </si>
  <si>
    <t>GMKN</t>
  </si>
  <si>
    <t>ГМКНорНик</t>
  </si>
  <si>
    <t>AFKS</t>
  </si>
  <si>
    <t>Система ао</t>
  </si>
  <si>
    <t>CBOM</t>
  </si>
  <si>
    <t>МКБ ао</t>
  </si>
  <si>
    <t>SNGS</t>
  </si>
  <si>
    <t>Сургнфгз</t>
  </si>
  <si>
    <t>NVTK</t>
  </si>
  <si>
    <t>Новатэк ао</t>
  </si>
  <si>
    <t>NLMK</t>
  </si>
  <si>
    <t>НЛМК ао</t>
  </si>
  <si>
    <t>MAGN</t>
  </si>
  <si>
    <t>ММК</t>
  </si>
  <si>
    <t>RUAL</t>
  </si>
  <si>
    <t>РУСАЛ ао</t>
  </si>
  <si>
    <t>ALRS</t>
  </si>
  <si>
    <t>АЛРОСА ао</t>
  </si>
  <si>
    <t>Сумма по акциям:</t>
  </si>
  <si>
    <t>SU26233RMFS5</t>
  </si>
  <si>
    <t>bond</t>
  </si>
  <si>
    <t>ОФЗ 26233</t>
  </si>
  <si>
    <t>2035-07-18</t>
  </si>
  <si>
    <t>SU29010RMFS4</t>
  </si>
  <si>
    <t>ОФЗ 29010</t>
  </si>
  <si>
    <t>2034-12-06</t>
  </si>
  <si>
    <t>SU26243RMFS4</t>
  </si>
  <si>
    <t>ОФЗ 26243</t>
  </si>
  <si>
    <t>2038-05-19</t>
  </si>
  <si>
    <t>SU26238RMFS4</t>
  </si>
  <si>
    <t>ОФЗ 26238</t>
  </si>
  <si>
    <t>2041-05-15</t>
  </si>
  <si>
    <t>SU26246RMFS7</t>
  </si>
  <si>
    <t>ОФЗ 26246</t>
  </si>
  <si>
    <t>2036-03-12</t>
  </si>
  <si>
    <t>SU26248RMFS3</t>
  </si>
  <si>
    <t>ОФЗ 26248</t>
  </si>
  <si>
    <t>2040-05-16</t>
  </si>
  <si>
    <t>SU26235RMFS0</t>
  </si>
  <si>
    <t>ОФЗ 26235</t>
  </si>
  <si>
    <t>2031-03-12</t>
  </si>
  <si>
    <t>SU26230RMFS1</t>
  </si>
  <si>
    <t>ОФЗ 26230</t>
  </si>
  <si>
    <t>2039-03-16</t>
  </si>
  <si>
    <t>SU29009RMFS6</t>
  </si>
  <si>
    <t>ОФЗ 29009</t>
  </si>
  <si>
    <t>2032-05-05</t>
  </si>
  <si>
    <t>SU26240RMFS0</t>
  </si>
  <si>
    <t>ОФЗ 26240</t>
  </si>
  <si>
    <t>2036-07-30</t>
  </si>
  <si>
    <t>SU26247RMFS5</t>
  </si>
  <si>
    <t>ОФЗ 26247</t>
  </si>
  <si>
    <t>2039-05-11</t>
  </si>
  <si>
    <t>SU26241RMFS8</t>
  </si>
  <si>
    <t>ОФЗ 26241</t>
  </si>
  <si>
    <t>2032-11-17</t>
  </si>
  <si>
    <t>SU26245RMFS9</t>
  </si>
  <si>
    <t>ОФЗ 26245</t>
  </si>
  <si>
    <t>2035-09-26</t>
  </si>
  <si>
    <t>SU26228RMFS5</t>
  </si>
  <si>
    <t>ОФЗ 26228</t>
  </si>
  <si>
    <t>2030-04-10</t>
  </si>
  <si>
    <t>SU26221RMFS0</t>
  </si>
  <si>
    <t>ОФЗ 26221</t>
  </si>
  <si>
    <t>2033-03-23</t>
  </si>
  <si>
    <t>SU26244RMFS2</t>
  </si>
  <si>
    <t>ОФЗ 26244</t>
  </si>
  <si>
    <t>2034-03-15</t>
  </si>
  <si>
    <t>SU26218RMFS6</t>
  </si>
  <si>
    <t>ОФЗ 26218</t>
  </si>
  <si>
    <t>2031-09-17</t>
  </si>
  <si>
    <t>SU26225RMFS1</t>
  </si>
  <si>
    <t>ОФЗ 26225</t>
  </si>
  <si>
    <t>2034-05-10</t>
  </si>
  <si>
    <t>SU52005RMFS4</t>
  </si>
  <si>
    <t>ОФЗ 52005</t>
  </si>
  <si>
    <t>2033-05-11</t>
  </si>
  <si>
    <t>SU29008RMFS8</t>
  </si>
  <si>
    <t>ОФЗ 29008</t>
  </si>
  <si>
    <t>2029-10-03</t>
  </si>
  <si>
    <t>SU26250RMFS9</t>
  </si>
  <si>
    <t>ОФЗ 26250</t>
  </si>
  <si>
    <t>2037-06-10</t>
  </si>
  <si>
    <t>SU26249RMFS1</t>
  </si>
  <si>
    <t>ОФЗ 26249</t>
  </si>
  <si>
    <t>2032-06-16</t>
  </si>
  <si>
    <t>RU000A106P06</t>
  </si>
  <si>
    <t>ВСК 1P-04R</t>
  </si>
  <si>
    <t>2028-07-28</t>
  </si>
  <si>
    <t>SU26239RMFS2</t>
  </si>
  <si>
    <t>ОФЗ 26239</t>
  </si>
  <si>
    <t>2031-07-23</t>
  </si>
  <si>
    <t>SU52004RMFS7</t>
  </si>
  <si>
    <t>ОФЗ 52004</t>
  </si>
  <si>
    <t>2032-03-17</t>
  </si>
  <si>
    <t>RU000A105VC5</t>
  </si>
  <si>
    <t>Полюс Б1P3</t>
  </si>
  <si>
    <t>2028-02-11</t>
  </si>
  <si>
    <t>SU26242RMFS6</t>
  </si>
  <si>
    <t>ОФЗ 26242</t>
  </si>
  <si>
    <t>2029-08-29</t>
  </si>
  <si>
    <t>SU52002RMFS1</t>
  </si>
  <si>
    <t>ОФЗ 52002</t>
  </si>
  <si>
    <t>2028-02-02</t>
  </si>
  <si>
    <t>SU26252RMFS5</t>
  </si>
  <si>
    <t>ОФЗ 26252</t>
  </si>
  <si>
    <t>2033-10-12</t>
  </si>
  <si>
    <t>RU000A106AT1</t>
  </si>
  <si>
    <t>ГазпромКP6</t>
  </si>
  <si>
    <t>2028-05-23</t>
  </si>
  <si>
    <t>RU000A0ZYVU5</t>
  </si>
  <si>
    <t>Роснфт2P5</t>
  </si>
  <si>
    <t>2028-02-18</t>
  </si>
  <si>
    <t>RU000A10BFG2</t>
  </si>
  <si>
    <t>Атомэнпр05</t>
  </si>
  <si>
    <t>2030-04-11</t>
  </si>
  <si>
    <t>RU000A10DCF7</t>
  </si>
  <si>
    <t>Новотр 2Р1</t>
  </si>
  <si>
    <t>2028-10-16</t>
  </si>
  <si>
    <t>RU000A10D9K0</t>
  </si>
  <si>
    <t>АФБАНК1Р16</t>
  </si>
  <si>
    <t>2028-02-14</t>
  </si>
  <si>
    <t>RU000A10DJH8</t>
  </si>
  <si>
    <t>ПКТ 2P1</t>
  </si>
  <si>
    <t>2029-11-15</t>
  </si>
  <si>
    <t>RU000A10C6P6</t>
  </si>
  <si>
    <t>АФБАНК1Р15</t>
  </si>
  <si>
    <t>2028-07-09</t>
  </si>
  <si>
    <t>RU000A10CWF7</t>
  </si>
  <si>
    <t>ПГК3Р01</t>
  </si>
  <si>
    <t>2028-09-14</t>
  </si>
  <si>
    <t>RU000A103760</t>
  </si>
  <si>
    <t>ХКФБанкБ04</t>
  </si>
  <si>
    <t>2026-06-01</t>
  </si>
  <si>
    <t>RU000A1068R1</t>
  </si>
  <si>
    <t>РСХБ2Р2</t>
  </si>
  <si>
    <t>2026-05-08</t>
  </si>
  <si>
    <t>RU000A1075S4</t>
  </si>
  <si>
    <t>ИКС5Фин3P2</t>
  </si>
  <si>
    <t>2026-10-17</t>
  </si>
  <si>
    <t>SU26253RMFS3</t>
  </si>
  <si>
    <t>ОФЗ 26253</t>
  </si>
  <si>
    <t>2038-10-06</t>
  </si>
  <si>
    <t>SU26254RMFS1</t>
  </si>
  <si>
    <t>ОФЗ 26254</t>
  </si>
  <si>
    <t>2040-10-03</t>
  </si>
  <si>
    <t>RU000A105KR6</t>
  </si>
  <si>
    <t>ВСК 1P-03R</t>
  </si>
  <si>
    <t>2027-11-30</t>
  </si>
  <si>
    <t>RU000A100N12</t>
  </si>
  <si>
    <t>Систем1P11</t>
  </si>
  <si>
    <t>2029-07-16</t>
  </si>
  <si>
    <t>RU000A102952</t>
  </si>
  <si>
    <t>ВИС Ф БП01</t>
  </si>
  <si>
    <t>2027-10-12</t>
  </si>
  <si>
    <t>RU000A1007Z2</t>
  </si>
  <si>
    <t>РЖД 1Р-13R</t>
  </si>
  <si>
    <t>2029-03-19</t>
  </si>
  <si>
    <t>RU000A1008D7</t>
  </si>
  <si>
    <t>РЖД 1Р-14R</t>
  </si>
  <si>
    <t>2029-05-04</t>
  </si>
  <si>
    <t>RU000A105CM4</t>
  </si>
  <si>
    <t>Новотр 1Р3</t>
  </si>
  <si>
    <t>2027-10-26</t>
  </si>
  <si>
    <t>RU000A1017J5</t>
  </si>
  <si>
    <t>Газпнф3P2R</t>
  </si>
  <si>
    <t>2029-12-07</t>
  </si>
  <si>
    <t>RU000A10BK17</t>
  </si>
  <si>
    <t>Газпн3P15R</t>
  </si>
  <si>
    <t>RU000A10B933</t>
  </si>
  <si>
    <t>Селигдар3Р</t>
  </si>
  <si>
    <t>2027-09-25</t>
  </si>
  <si>
    <t>RU000A0JXPN8</t>
  </si>
  <si>
    <t>Ростел1P2R</t>
  </si>
  <si>
    <t>2027-04-14</t>
  </si>
  <si>
    <t>SU29007RMFS0</t>
  </si>
  <si>
    <t>ОФЗ 29007</t>
  </si>
  <si>
    <t>2027-03-03</t>
  </si>
  <si>
    <t>RU000A10BWC6</t>
  </si>
  <si>
    <t>iПозитивР3</t>
  </si>
  <si>
    <t>2028-04-12</t>
  </si>
  <si>
    <t>RU000A10BFX7</t>
  </si>
  <si>
    <t>СамолетP16</t>
  </si>
  <si>
    <t>2028-04-06</t>
  </si>
  <si>
    <t>RU000A10CKZ0</t>
  </si>
  <si>
    <t>ЕврХол3P04</t>
  </si>
  <si>
    <t>2028-02-13</t>
  </si>
  <si>
    <t>RU000A10ATW2</t>
  </si>
  <si>
    <t>БалтЛизП15</t>
  </si>
  <si>
    <t>RU000A10CDZ5</t>
  </si>
  <si>
    <t>РЖД 1Р-45R</t>
  </si>
  <si>
    <t>2029-06-24</t>
  </si>
  <si>
    <t>RU000A109PF2</t>
  </si>
  <si>
    <t>РЖД 1Р-33R</t>
  </si>
  <si>
    <t>2028-10-29</t>
  </si>
  <si>
    <t>RU000A104693</t>
  </si>
  <si>
    <t>Систем1P23</t>
  </si>
  <si>
    <t>2031-11-21</t>
  </si>
  <si>
    <t>RU000A10DYC8</t>
  </si>
  <si>
    <t>ФПК2Р01</t>
  </si>
  <si>
    <t>2028-06-10</t>
  </si>
  <si>
    <t>RU000A105KB0</t>
  </si>
  <si>
    <t>ГТЛК 2P-02</t>
  </si>
  <si>
    <t>2037-11-17</t>
  </si>
  <si>
    <t>RU000A0JXN21</t>
  </si>
  <si>
    <t>СистемБ1P6</t>
  </si>
  <si>
    <t>2027-03-26</t>
  </si>
  <si>
    <t>RU000A1042W6</t>
  </si>
  <si>
    <t>ВЭБP-31</t>
  </si>
  <si>
    <t>2028-10-18</t>
  </si>
  <si>
    <t>RU000A103QK3</t>
  </si>
  <si>
    <t>МэйлБ1Р1</t>
  </si>
  <si>
    <t>2026-09-15</t>
  </si>
  <si>
    <t>RU000A106K43</t>
  </si>
  <si>
    <t>РЖД 1Р-26R</t>
  </si>
  <si>
    <t>2028-07-19</t>
  </si>
  <si>
    <t>RU000A107W06</t>
  </si>
  <si>
    <t>Новотр 1Р5</t>
  </si>
  <si>
    <t>2027-03-04</t>
  </si>
  <si>
    <t>RU000A104SX0</t>
  </si>
  <si>
    <t>РЖД 1Р-24R</t>
  </si>
  <si>
    <t>2027-04-30</t>
  </si>
  <si>
    <t>RU000A103G00</t>
  </si>
  <si>
    <t>СТМ 1P2</t>
  </si>
  <si>
    <t>2026-07-22</t>
  </si>
  <si>
    <t>RU000A0ZYR91</t>
  </si>
  <si>
    <t>ГТЛК 1P-08</t>
  </si>
  <si>
    <t>2033-01-18</t>
  </si>
  <si>
    <t>SU29024RMFS5</t>
  </si>
  <si>
    <t>ОФЗ 29024</t>
  </si>
  <si>
    <t>2035-04-18</t>
  </si>
  <si>
    <t>RU000A101U61</t>
  </si>
  <si>
    <t>Ульоб35002</t>
  </si>
  <si>
    <t>2027-06-25</t>
  </si>
  <si>
    <t>RU000A1003A4</t>
  </si>
  <si>
    <t>ГТЛК 1P-13</t>
  </si>
  <si>
    <t>2034-01-20</t>
  </si>
  <si>
    <t>RU000A104Z48</t>
  </si>
  <si>
    <t>ВЭБ2P-33</t>
  </si>
  <si>
    <t>2027-07-15</t>
  </si>
  <si>
    <t>RU000A101XN7</t>
  </si>
  <si>
    <t>Систем1P14</t>
  </si>
  <si>
    <t>2030-07-10</t>
  </si>
  <si>
    <t>RU000A104V75</t>
  </si>
  <si>
    <t>ПочтаР2P01</t>
  </si>
  <si>
    <t>2032-05-26</t>
  </si>
  <si>
    <t>RU000A104XR2</t>
  </si>
  <si>
    <t>Автодор3Р2</t>
  </si>
  <si>
    <t>2027-07-01</t>
  </si>
  <si>
    <t>RU000A102FS1</t>
  </si>
  <si>
    <t>Систем1P16</t>
  </si>
  <si>
    <t>2030-11-25</t>
  </si>
  <si>
    <t>RU000A106ZL5</t>
  </si>
  <si>
    <t>РЖД 1Р-28R</t>
  </si>
  <si>
    <t>2030-09-20</t>
  </si>
  <si>
    <t>RU000A101SC0</t>
  </si>
  <si>
    <t>ГТЛК 1P-18</t>
  </si>
  <si>
    <t>2035-05-23</t>
  </si>
  <si>
    <t>RU000A1061K1</t>
  </si>
  <si>
    <t>ЕвроТранс3</t>
  </si>
  <si>
    <t>2027-03-14</t>
  </si>
  <si>
    <t>RU000A100KY3</t>
  </si>
  <si>
    <t>Роснфт2P8</t>
  </si>
  <si>
    <t>2029-07-02</t>
  </si>
  <si>
    <t>RU000A101SD8</t>
  </si>
  <si>
    <t>ГТЛК 1P-19</t>
  </si>
  <si>
    <t>RU000A101GD3</t>
  </si>
  <si>
    <t>ГТЛК 1P-16</t>
  </si>
  <si>
    <t>2028-02-17</t>
  </si>
  <si>
    <t>RU000A1065B1</t>
  </si>
  <si>
    <t>АБЗ-1 1Р04</t>
  </si>
  <si>
    <t>2026-04-21</t>
  </si>
  <si>
    <t>Сумма по облигациям:</t>
  </si>
  <si>
    <t>Рубль</t>
  </si>
  <si>
    <t>Золото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</si>
  <si>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</si>
  <si>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</si>
  <si>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</si>
  <si>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</si>
  <si>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</si>
  <si>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</si>
  <si>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</si>
  <si>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</si>
  <si>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</si>
  <si>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</si>
  <si>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</si>
  <si>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Купон по RU000A0JY031 - МФ МарЭл17 1шт. по 16.08 RUR (данные из БД)</t>
  </si>
  <si>
    <t>Выплата купонов по RU000A0JY031 - МФ МарЭл17 (данные из сделок)</t>
  </si>
  <si>
    <t>Амортизация Оренб35003: 1 шт. по 200 RUR.  (данные из БД)</t>
  </si>
  <si>
    <t>Купон по RU000A0JVM81 - Оренб35003 1шт. по 27.92 RUR (данные из БД)</t>
  </si>
  <si>
    <t>Выплата купонов по RU000A0JVM81 - Оренб35003 (данные из сделок)</t>
  </si>
  <si>
    <t>Частичное погашение облигаций по RU000A0JVM81 - Оренб35003 (данные из сделок)</t>
  </si>
  <si>
    <t>Купон по SU24021RMFS6 - ОФЗ 24021 1шт. по 29.03 RUR (данные из БД)</t>
  </si>
  <si>
    <t>Выплата купонов по SU24021RMFS6 - ОФЗ 24021 (данные из сделок)</t>
  </si>
  <si>
    <t>Купон по SU26233RMFS5 - ОФЗ 26233 1шт. по 30.42 RUR (данные из БД)</t>
  </si>
  <si>
    <t>Выплата купонов по SU26233RMFS5 - ОФЗ 26233 (данные из сделок)</t>
  </si>
  <si>
    <t>Купон по SU26235RMFS0 - ОФЗ 26235 1шт. по 29.42 RUR (данные из БД)</t>
  </si>
  <si>
    <t>Выплата купонов по SU26235RMFS0 - ОФЗ 26235 (данные из сделок)</t>
  </si>
  <si>
    <t>Купон по RU000A0JVM81 - Оренб35003 1шт. по 20.94 RUR (данные из БД)</t>
  </si>
  <si>
    <t>Дивиденд по NVTK - Новатэк ао 1шт. по 45 RUR (данные из БД)</t>
  </si>
  <si>
    <t>Дивиденд по GAZP - ГАЗПРОМ ао 10шт. по 51.03 RUR (данные из БД)</t>
  </si>
  <si>
    <t>Дивиденд по TATN - Татнфт 3ао 1шт. по 32.71 RUR (данные из БД)</t>
  </si>
  <si>
    <t>Выплата дивидендов по NVTK - Новатэк ао (данные из сделок)</t>
  </si>
  <si>
    <t>Купон по SU24021RMFS6 - ОФЗ 24021 1шт. по 19.69 RUR (данные из БД)</t>
  </si>
  <si>
    <t>Выплата дивидендов по GAZP - ГАЗПРОМ ао (данные из сделок)</t>
  </si>
  <si>
    <t>Выплата дивидендов по TATN - публичное акционерное общество Татнефть имени В.Д. Шашина (данные из сделок)</t>
  </si>
  <si>
    <t>Купон по RU000A100D89 - Беларусь07 1шт. по 42.38 RUR (данные из БД)</t>
  </si>
  <si>
    <t>Выплата купонов по RU000A100D89 - Беларусь07 (данные из сделок)</t>
  </si>
  <si>
    <t>Купон по SU29009RMFS6 - ОФЗ 29009 1шт. по 68.71 RUR (данные из БД)</t>
  </si>
  <si>
    <t>Выплата купонов по SU29009RMFS6 - ОФЗ 29009 (данные из сделок)</t>
  </si>
  <si>
    <t>Амортизация МФ МарЭл17: 1 шт. по 250 RUR.  (данные из БД)</t>
  </si>
  <si>
    <t>Купон по SU26225RMFS1 - ОФЗ 26225 2шт. по 36.15 RUR (данные из БД)</t>
  </si>
  <si>
    <t>Частичное погашение облигаций по RU000A0JY031 - МФ МарЭл17 (данные из сделок)</t>
  </si>
  <si>
    <t>Выплата купонов по SU26225RMFS1 - ОФЗ 26225 (данные из сделок)</t>
  </si>
  <si>
    <t>Купон по RU000A104693 - Систем1P23 1шт. по 24.81 RUR (данные из БД)</t>
  </si>
  <si>
    <t>Выплата купонов по RU000A104693 - Систем1P23 (данные из сделок)</t>
  </si>
  <si>
    <t>Купон по RU000A101SD8 - ГТЛК 1P-19 1шт. по 19.87 RUR (данные из БД)</t>
  </si>
  <si>
    <t>Выплата купонов по RU000A101SD8 - ГТЛК 1P-19 (данные из сделок)</t>
  </si>
  <si>
    <t>Купон по SU29010RMFS4 - ОФЗ 29010 2шт. по 72.95 RUR (данные из БД)</t>
  </si>
  <si>
    <t>Выплата купонов по SU29010RMFS4 - ОФЗ 29010 (данные из сделок)</t>
  </si>
  <si>
    <t>Дивиденд по TATN - Татнфт 3ао 1шт. по 6.86 RUR (данные из БД)</t>
  </si>
  <si>
    <t>Купон по SU24021RMFS6 - ОФЗ 24021 1шт. по 18.31 RUR (данные из БД)</t>
  </si>
  <si>
    <t>Купон по RU000A0ZYR91 - ГТЛК 1P-08 1шт. по 28.22 RUR (данные из БД)</t>
  </si>
  <si>
    <t>Купон по SU29006RMFS2 - ОФЗ 29006 1шт. по 71.9 RUR (данные из БД)</t>
  </si>
  <si>
    <t>Купон по SU26233RMFS5 - ОФЗ 26233 2шт. по 30.42 RUR (данные из БД)</t>
  </si>
  <si>
    <t>Выплата купонов по RU000A0ZYR91 - ГТЛК 1P-08 (данные из сделок)</t>
  </si>
  <si>
    <t>Выплата купонов по SU29006RMFS2 - ОФЗ 29006 (данные из сделок)</t>
  </si>
  <si>
    <t>Купон по RU000A104XR2 - Автодор3Р2 1шт. по 61.86 RUR (данные из БД)</t>
  </si>
  <si>
    <t>Выплата купонов по RU000A104XR2 - Автодор3Р2 (данные из сделок)</t>
  </si>
  <si>
    <t>Купон по SU26240RMFS0 - ОФЗ 26240 2шт. по 34.9 RUR (данные из БД)</t>
  </si>
  <si>
    <t>Выплата купонов по SU26240RMFS0 - ОФЗ 26240 (данные из сделок)</t>
  </si>
  <si>
    <t>Купон по RU000A0JY031 - МФ МарЭл17 1шт. по 10.72 RUR (данные из БД)</t>
  </si>
  <si>
    <t>Купон по SU29007RMFS0 - ОФЗ 29007 1шт. по 69.51 RUR (данные из БД)</t>
  </si>
  <si>
    <t>Выплата купонов по SU29007RMFS0 - ОФЗ 29007 (данные из сделок)</t>
  </si>
  <si>
    <t>Купон по RU000A103QK3 - МэйлБ1Р1 1шт. по 39.39 RUR (данные из БД)</t>
  </si>
  <si>
    <t>Прочий доход</t>
  </si>
  <si>
    <t>Купон по SU26235RMFS0 - ОФЗ 26235 2шт. по 29.42 RUR (данные из БД)</t>
  </si>
  <si>
    <t>Выплата купонов по RU000A103QK3 - МэйлБ1Р1 (данные из сделок)</t>
  </si>
  <si>
    <t>Купон по SU52004RMFS7 - ОФЗ 52004 1шт. по 14.58 RUR (данные из БД)</t>
  </si>
  <si>
    <t>Выплата купонов по SU52004RMFS7 - ОФЗ 52004 (данные из сделок)</t>
  </si>
  <si>
    <t>Купон по SU26230RMFS1 - ОФЗ 26230 3шт. по 38.39 RUR (данные из БД)</t>
  </si>
  <si>
    <t>Купон по SU26221RMFS0 - ОФЗ 26221 1шт. по 38.39 RUR (данные из БД)</t>
  </si>
  <si>
    <t>Выплата купонов по SU26221RMFS0 - ОФЗ 26221 (данные из сделок)</t>
  </si>
  <si>
    <t>Выплата купонов по SU26230RMFS1 - ОФЗ 26230 (данные из сделок)</t>
  </si>
  <si>
    <t>Купон по SU29008RMFS8 - ОФЗ 29008 2шт. по 58.34 RUR (данные из БД)</t>
  </si>
  <si>
    <t>Выплата купонов по SU29008RMFS8 - ОФЗ 29008 (данные из сделок)</t>
  </si>
  <si>
    <t>Купон по SU24021RMFS6 - ОФЗ 24021 1шт. по 17.98 RUR (данные из БД)</t>
  </si>
  <si>
    <t>Дивиденд по NVTK - Новатэк ао 1шт. по 60.58 RUR (данные из БД)</t>
  </si>
  <si>
    <t>Дивиденд по SBER - Сбербанк 30шт. по 25 RUR (данные из БД)</t>
  </si>
  <si>
    <t>Дивиденд по SBERP - Сбербанк-п 20шт. по 25 RUR (данные из БД)</t>
  </si>
  <si>
    <t>Купон по SU29009RMFS6 - ОФЗ 29009 3шт. по 51.21 RUR (данные из БД)</t>
  </si>
  <si>
    <t>Купон по RU000A1043B8 - ТАЛАНФБ1P3 1шт. по 32.41 RUR (данные из БД)</t>
  </si>
  <si>
    <t>Выплата купонов по RU000A1043B8 - ТАЛАНФБ1P3 (данные из сделок)</t>
  </si>
  <si>
    <t>Купон по SU26225RMFS1 - ОФЗ 26225 3шт. по 36.15 RUR (данные из БД)</t>
  </si>
  <si>
    <t>Купон по RU000A101GD3 - ГТЛК 1P-16 1шт. по 10.83 RUR (данные из БД)</t>
  </si>
  <si>
    <t>Выплата дивидендов по SBERP - Сбербанк-п (данные из сделок)</t>
  </si>
  <si>
    <t>Выплата дивидендов по SBER - Сбербанк (данные из сделок)</t>
  </si>
  <si>
    <t>Выплата купонов по RU000A101GD3 - ГТЛК 1P-16 (данные из сделок)</t>
  </si>
  <si>
    <t>Дивиденд по IRAO - ИнтерРАОао 400шт. по 0.28 RUR (данные из БД)</t>
  </si>
  <si>
    <t>Купон по RU000A102G50 - ВСК 1P-01R 1шт. по 32.66 RUR (данные из БД)</t>
  </si>
  <si>
    <t>Купон по SU26238RMFS4 - ОФЗ 26238 4шт. по 35.4 RUR (данные из БД)</t>
  </si>
  <si>
    <t>Выплата купонов по RU000A102G50 - ВСК 1P-01R (данные из сделок)</t>
  </si>
  <si>
    <t>Выплата купонов по SU26238RMFS4 - ОФЗ 26238 (данные из сделок)</t>
  </si>
  <si>
    <t>Купон по RU000A102H91 - Автодор3Р1 1шт. по 31.3 RUR (данные из БД)</t>
  </si>
  <si>
    <t>Выплата купонов по RU000A102H91 - Автодор3Р1 (данные из сделок)</t>
  </si>
  <si>
    <t>Выплата дивидендов по IRAO - ИнтерРАОао (данные из сделок)</t>
  </si>
  <si>
    <t>Дивиденд по MOEX - МосБиржа 10шт. по 4.84 RUR (данные из БД)</t>
  </si>
  <si>
    <t>Купон по SU29010RMFS4 - ОФЗ 29010 3шт. по 47.52 RUR (данные из БД)</t>
  </si>
  <si>
    <t>Выплата дивидендов по MOEX - МосБиржа (данные из сделок)</t>
  </si>
  <si>
    <t>Дивиденд по TATN - Татнфт 3ао 1шт. по 27.71 RUR (данные из БД)</t>
  </si>
  <si>
    <t>Дивиденд по HYDR - РусГидро 1000шт. по 0.05 RUR (данные из БД)</t>
  </si>
  <si>
    <t>Дивиденд по AFKS - Система ао 100шт. по 0.41 RUR (данные из БД)</t>
  </si>
  <si>
    <t>Дивиденд по SNGS - Сургнфгз 100шт. по 0.8 RUR (данные из БД)</t>
  </si>
  <si>
    <t>Дивиденд по SNGSP - Сургнфгз-п 100шт. по 0.8 RUR (данные из БД)</t>
  </si>
  <si>
    <t>Купон по RU000A103G00 - СТМ 1P2 1шт. по 43.38 RUR (данные из БД)</t>
  </si>
  <si>
    <t>Купон по SU24021RMFS6 - ОФЗ 24021 1шт. по 18.18 RUR (данные из БД)</t>
  </si>
  <si>
    <t>Выплата дивидендов по HYDR - РусГидро (данные из сделок)</t>
  </si>
  <si>
    <t>Выплата купонов по RU000A103G00 - СТМ 1P2 (данные из сделок)</t>
  </si>
  <si>
    <t>Купон по SU26233RMFS5 - ОФЗ 26233 10шт. по 30.42 RUR (данные из БД)</t>
  </si>
  <si>
    <t>Купон по SU29006RMFS2 - ОФЗ 29006 1шт. по 43.53 RUR (данные из БД)</t>
  </si>
  <si>
    <t>Выплата дивидендов по AFKS - Система ао (данные из сделок)</t>
  </si>
  <si>
    <t>Выплата дивидендов по SNGS - Сургнфгз (данные из сделок)</t>
  </si>
  <si>
    <t>Выплата дивидендов по SNGSP - Сургнфгз-п (данные из сделок)</t>
  </si>
  <si>
    <t>Купон по RU000A104XR2 - Автодор3Р2 1шт. по 53.1 RUR (данные из БД)</t>
  </si>
  <si>
    <t>Купон по SU26240RMFS0 - ОФЗ 26240 7шт. по 34.9 RUR (данные из БД)</t>
  </si>
  <si>
    <t>Купон по RU000A105V90 - ЕАБР3P-006 1шт. по 51.61 RUR (данные из БД)</t>
  </si>
  <si>
    <t>Купон по RU000A1068R1 - РСХБ2Р2 2шт. по 7.5 RUR (данные из БД)</t>
  </si>
  <si>
    <t>Купон по RU000A1043B8 - ТАЛАНФБ1P3 2шт. по 32.41 RUR (данные из БД)</t>
  </si>
  <si>
    <t>Выплата купонов по RU000A105V90 - ЕАБР3P-006 (данные из сделок)</t>
  </si>
  <si>
    <t>Выплата купонов по RU000A1068R1 - РСХБ2Р2 (данные из сделок)</t>
  </si>
  <si>
    <t>Купон по SU29007RMFS0 - ОФЗ 29007 1шт. по 43.33 RUR (данные из БД)</t>
  </si>
  <si>
    <t>Купон по RU000A1068R1 - РСХБ2Р2 2шт. по 8.24 RUR (данные из БД)</t>
  </si>
  <si>
    <t>Купон по SU26235RMFS0 - ОФЗ 26235 7шт. по 29.42 RUR (данные из БД)</t>
  </si>
  <si>
    <t>Амортизация ХэндрснБ01: 1 шт. по 75 RUR.  (данные из БД)</t>
  </si>
  <si>
    <t>Купон по RU000A103Q08 - ХэндрснБ01 1шт. по 21.6 RUR (данные из БД)</t>
  </si>
  <si>
    <t>Купон по SU52004RMFS7 - ОФЗ 52004 4шт. по 14.99 RUR (данные из БД)</t>
  </si>
  <si>
    <t>Частичное погашение облигаций по RU000A103Q08 - ХэндрснБ01 (данные из сделок)</t>
  </si>
  <si>
    <t>Выплата купонов по RU000A103Q08 - ХэндрснБ01 (данные из сделок)</t>
  </si>
  <si>
    <t>Купон по SU26230RMFS1 - ОФЗ 26230 5шт. по 38.39 RUR (данные из БД)</t>
  </si>
  <si>
    <t>Купон по RU000A0JVM81 - Оренб35003 1шт. по 13.96 RUR (данные из БД)</t>
  </si>
  <si>
    <t>Дивиденд по NVTK - Новатэк ао 1шт. по 34.5 RUR (данные из БД)</t>
  </si>
  <si>
    <t>Купон по SU29008RMFS8 - ОФЗ 29008 2шт. по 43.33 RUR (данные из БД)</t>
  </si>
  <si>
    <t>Дивиденд по TATN - Татнфт 3ао 1шт. по 27.54 RUR (данные из БД)</t>
  </si>
  <si>
    <t>Купон по SU26228RMFS5 - ОФЗ 26228 2шт. по 38.15 RUR (данные из БД)</t>
  </si>
  <si>
    <t>Выплата купонов по SU26228RMFS5 - ОФЗ 26228 (данные из сделок)</t>
  </si>
  <si>
    <t>Купон по RU000A1068R1 - РСХБ2Р2 2шт. по 11.28 RUR (данные из БД)</t>
  </si>
  <si>
    <t>Купон по SU24021RMFS6 - ОФЗ 24021 1шт. по 27.78 RUR (данные из БД)</t>
  </si>
  <si>
    <t>Купон по RU000A1042W6 - ВЭБP-31 1шт. по 31.64 RUR (данные из БД)</t>
  </si>
  <si>
    <t>Выплата купонов по RU000A1042W6 - ВЭБP-31 (данные из сделок)</t>
  </si>
  <si>
    <t>Купон по SU29024RMFS5 - ОФЗ 29024 1шт. по 28.73 RUR (данные из БД)</t>
  </si>
  <si>
    <t>Выплата купонов по SU29024RMFS5 - ОФЗ 29024 (данные из сделок)</t>
  </si>
  <si>
    <t>Купон по SU29009RMFS6 - ОФЗ 29009 3шт. по 43.43 RUR (данные из БД)</t>
  </si>
  <si>
    <t>Купон по RU000A1068R1 - РСХБ2Р2 2шт. по 11.93 RUR (данные из БД)</t>
  </si>
  <si>
    <t>Купон по SU52005RMFS4 - ОФЗ 52005 5шт. по 17.96 RUR (данные из БД)</t>
  </si>
  <si>
    <t>Купон по SU26225RMFS1 - ОФЗ 26225 6шт. по 36.15 RUR (данные из БД)</t>
  </si>
  <si>
    <t>Выплата купонов по SU52005RMFS4 - ОФЗ 52005 (данные из сделок)</t>
  </si>
  <si>
    <t>Дивиденд по RTKM - Ростел -ао 20шт. по 5.45 RUR (данные из БД)</t>
  </si>
  <si>
    <t>Купон по RU000A105KR6 - ВСК 1P-03R 1шт. по 56.1 RUR (данные из БД)</t>
  </si>
  <si>
    <t>Купон по SU26238RMFS4 - ОФЗ 26238 11шт. по 35.4 RUR (данные из БД)</t>
  </si>
  <si>
    <t>Купон по SU26243RMFS4 - ОФЗ 26243 3шт. по 45.11 RUR (данные из БД)</t>
  </si>
  <si>
    <t>Выплата купонов по RU000A105KR6 - ВСК 1P-03R (данные из сделок)</t>
  </si>
  <si>
    <t>Выплата купонов по SU26243RMFS4 - ОФЗ 26243 (данные из сделок)</t>
  </si>
  <si>
    <t>Амортизация Автодор3Р1: 1 шт. по 35 RUR.  (данные из БД)</t>
  </si>
  <si>
    <t>Частичное погашение облигаций по RU000A102H91 - Автодор3Р1 (данные из сделок)</t>
  </si>
  <si>
    <t>Выплата дивидендов по RTKM - Ростел -ао (данные из сделок)</t>
  </si>
  <si>
    <t>Купон по SU29010RMFS4 - ОФЗ 29010 3шт. по 43.98 RUR (данные из БД)</t>
  </si>
  <si>
    <t>Купон по RU000A1068R1 - РСХБ2Р2 2шт. по 12.96 RUR (данные из БД)</t>
  </si>
  <si>
    <t>Купон по RU000A103Q08 - ХэндрснБ01 1шт. по 19.63 RUR (данные из БД)</t>
  </si>
  <si>
    <t>Купон по RU000A101U61 - Ульоб35002 2шт. по 32.91 RUR (данные из БД)</t>
  </si>
  <si>
    <t>Дивиденд по TATN - Татнфт 3ао 1шт. по 35.17 RUR (данные из БД)</t>
  </si>
  <si>
    <t>Выплата купонов по RU000A101U61 - Ульоб35002 (данные из сделок)</t>
  </si>
  <si>
    <t>Купон по SU26234RMFS3 - ОФЗ 26234 2шт. по 22.44 RUR (данные из БД)</t>
  </si>
  <si>
    <t>Выплата купонов по SU26234RMFS3 - ОФЗ 26234 (данные из сделок)</t>
  </si>
  <si>
    <t>Купон по RU000A1068R1 - РСХБ2Р2 2шт. по 13.99 RUR (данные из БД)</t>
  </si>
  <si>
    <t>Купон по RU000A1065B1 - АБЗ-1 1Р04 1шт. по 34.28 RUR (данные из БД)</t>
  </si>
  <si>
    <t>Купон по RU000A1042W6 - ВЭБP-31 1шт. по 40.7 RUR (данные из БД)</t>
  </si>
  <si>
    <t>Купон по SU24021RMFS6 - ОФЗ 24021 1шт. по 36.81 RUR (данные из БД)</t>
  </si>
  <si>
    <t>Выплата купонов по RU000A1065B1 - АБЗ-1 1Р04 (данные из сделок)</t>
  </si>
  <si>
    <t>Купон по RU000A103G91 - iПМЕДДМ1Р2 1шт. по 47.12 RUR (данные из БД)</t>
  </si>
  <si>
    <t>Выплата купонов по RU000A103G91 - iПМЕДДМ1Р2 (данные из сделок)</t>
  </si>
  <si>
    <t>Купон по SU29024RMFS5 - ОФЗ 29024 1шт. по 37.33 RUR (данные из БД)</t>
  </si>
  <si>
    <t>Купон по SU29006RMFS2 - ОФЗ 29006 1шт. по 42.53 RUR (данные из БД)</t>
  </si>
  <si>
    <t>Купон по SU26233RMFS5 - ОФЗ 26233 20шт. по 30.42 RUR (данные из БД)</t>
  </si>
  <si>
    <t>Купон по SU26240RMFS0 - ОФЗ 26240 12шт. по 34.9 RUR (данные из БД)</t>
  </si>
  <si>
    <t>Купон по RU000A0JY031 - МФ МарЭл17 1шт. по 5.36 RUR (данные из БД)</t>
  </si>
  <si>
    <t>Амортизация ГТЛК 1P-16: 1 шт. по 125 RUR.  (данные из БД)</t>
  </si>
  <si>
    <t>Купон по RU000A1068R1 - РСХБ2Р2 2шт. по 14.3 RUR (данные из БД)</t>
  </si>
  <si>
    <t>Частичное погашение облигаций по RU000A101GD3 - ГТЛК 1P-16 (данные из сделок)</t>
  </si>
  <si>
    <t>Амортизация ЭТС 1Р04: 1 шт. по 67 RUR.  (данные из БД)</t>
  </si>
  <si>
    <t>Купон по SU29007RMFS0 - ОФЗ 29007 1шт. по 45.97 RUR (данные из БД)</t>
  </si>
  <si>
    <t>Купон по RU000A103828 - ЭТС 1Р04 1шт. по 14.76 RUR (данные из БД)</t>
  </si>
  <si>
    <t>Частичное погашение облигаций по RU000A103828 - ЭТС 1Р04 (данные из сделок)</t>
  </si>
  <si>
    <t>Выплата купонов по RU000A103828 - ЭТС 1Р04 (данные из сделок)</t>
  </si>
  <si>
    <t>Купон по SU26235RMFS0 - ОФЗ 26235 8шт. по 29.42 RUR (данные из БД)</t>
  </si>
  <si>
    <t>Купон по RU000A106K43 - РЖД 1Р-26R 1шт. по 14.54 RUR (данные из БД)</t>
  </si>
  <si>
    <t>Выплата купонов по RU000A106K43 - РЖД 1Р-26R (данные из сделок)</t>
  </si>
  <si>
    <t>Купон по RU000A1068R1 - РСХБ2Р2 2шт. по 14.75 RUR (данные из БД)</t>
  </si>
  <si>
    <t>Купон по RU000A103Q08 - ХэндрснБ01 1шт. по 17.67 RUR (данные из БД)</t>
  </si>
  <si>
    <t>Дивиденд по NVTK - Новатэк ао 1шт. по 44.09 RUR (данные из БД)</t>
  </si>
  <si>
    <t>Купон по SU52004RMFS7 - ОФЗ 52004 4шт. по 15.66 RUR (данные из БД)</t>
  </si>
  <si>
    <t>Купон по SU26244RMFS2 - ОФЗ 26244 4шт. по 47.47 RUR (данные из БД)</t>
  </si>
  <si>
    <t>Купон по SU26218RMFS6 - ОФЗ 26218 2шт. по 42.38 RUR (данные из БД)</t>
  </si>
  <si>
    <t>Выплата купонов по SU26244RMFS2 - ОФЗ 26244 (данные из сделок)</t>
  </si>
  <si>
    <t>Выплата купонов по SU26218RMFS6 - ОФЗ 26218 (данные из сделок)</t>
  </si>
  <si>
    <t>Купон по SU26221RMFS0 - ОФЗ 26221 2шт. по 38.39 RUR (данные из БД)</t>
  </si>
  <si>
    <t>Купон по SU26230RMFS1 - ОФЗ 26230 13шт. по 38.39 RUR (данные из БД)</t>
  </si>
  <si>
    <t>Купон по SU29008RMFS8 - ОФЗ 29008 2шт. по 51.31 RUR (данные из БД)</t>
  </si>
  <si>
    <t>Выплата дивидендов по NVTK.IL - PAO NOVATEK (данные из сделок)</t>
  </si>
  <si>
    <t>Купон по SU26228RMFS5 - ОФЗ 26228 5шт. по 38.15 RUR (данные из БД)</t>
  </si>
  <si>
    <t>Купон по RU000A106K43 - РЖД 1Р-26R 1шт. по 14.43 RUR (данные из БД)</t>
  </si>
  <si>
    <t>Амортизация ОФЗ 24021: 1 шт. по 1000 RUR.  (данные из БД)</t>
  </si>
  <si>
    <t>Купон по RU000A1068R1 - РСХБ2Р2 2шт. по 14.59 RUR (данные из БД)</t>
  </si>
  <si>
    <t>Купон по RU000A1042W6 - ВЭБP-31 1шт. по 43.1 RUR (данные из БД)</t>
  </si>
  <si>
    <t>Купон по SU24021RMFS6 - ОФЗ 24021 1шт. по 39.13 RUR (данные из БД)</t>
  </si>
  <si>
    <t>Полное погашение облигаций по SU24021RMFS6 - ОФЗ 24021 (данные из сделок)</t>
  </si>
  <si>
    <t>Купон по SU29024RMFS5 - ОФЗ 29024 1шт. по 39.1 RUR (данные из БД)</t>
  </si>
  <si>
    <t>Купон по SU29009RMFS6 - ОФЗ 29009 3шт. по 57.84 RUR (данные из БД)</t>
  </si>
  <si>
    <t>Купон по RU000A102CX8 - Ульоб34003 1шт. по 4.67 RUR (данные из БД)</t>
  </si>
  <si>
    <t>Выплата купонов по RU000A102CX8 - Ульоб34003 (данные из сделок)</t>
  </si>
  <si>
    <t>Амортизация ТАЛАНФБ1P3: 2 шт. по 150 RUR.  (данные из БД)</t>
  </si>
  <si>
    <t>Частичное погашение облигаций по RU000A1043B8 - ТАЛАНФБ1P3 (данные из сделок)</t>
  </si>
  <si>
    <t>Купон по SU52005RMFS4 - ОФЗ 52005 6шт. по 13.63 RUR (данные из БД)</t>
  </si>
  <si>
    <t>Купон по RU000A106K43 - РЖД 1Р-26R 1шт. по 14.4 RUR (данные из БД)</t>
  </si>
  <si>
    <t>Купон по SU26225RMFS1 - ОФЗ 26225 9шт. по 36.15 RUR (данные из БД)</t>
  </si>
  <si>
    <t>Купон по RU000A101GD3 - ГТЛК 1P-16 1шт. по 8.66 RUR (данные из БД)</t>
  </si>
  <si>
    <t>Купон по RU000A1068R1 - РСХБ2Р2 2шт. по 14.57 RUR (данные из БД)</t>
  </si>
  <si>
    <t>Купон по SU26241RMFS8 - ОФЗ 26241 6шт. по 47.37 RUR (данные из БД)</t>
  </si>
  <si>
    <t>Выплата купонов по SU26241RMFS8 - ОФЗ 26241 (данные из сделок)</t>
  </si>
  <si>
    <t>Купон по RU000A103760 - ХКФБанкБ04 1шт. по 19.95 RUR (данные из БД)</t>
  </si>
  <si>
    <t>Дивиденд по IRAO - ИнтерРАОао 1000шт. по 0.33 RUR (данные из БД)</t>
  </si>
  <si>
    <t>Выплата купонов по RU000A103760 - ХКФБанкБ04 (данные из сделок)</t>
  </si>
  <si>
    <t>Купон по RU000A102G50 - ВСК 1P-01R 2шт. по 32.66 RUR (данные из БД)</t>
  </si>
  <si>
    <t>Купон по SU26243RMFS4 - ОФЗ 26243 8шт. по 48.87 RUR (данные из БД)</t>
  </si>
  <si>
    <t>Купон по SU26238RMFS4 - ОФЗ 26238 18шт. по 35.4 RUR (данные из БД)</t>
  </si>
  <si>
    <t>Купон по RU000A103828 - ЭТС 1Р04 1шт. по 13.11 RUR (данные из БД)</t>
  </si>
  <si>
    <t>Дивиденд по MAGN - ММК 30шт. по 2.75 RUR (данные из БД)</t>
  </si>
  <si>
    <t>Купон по RU000A102H91 - Автодор3Р1 1шт. по 30.12 RUR (данные из БД)</t>
  </si>
  <si>
    <t>Дивиденд по MOEX - МосБиржа 10шт. по 17.35 RUR (данные из БД)</t>
  </si>
  <si>
    <t>Купон по SU29010RMFS4 - ОФЗ 29010 7шт. по 65.77 RUR (данные из БД)</t>
  </si>
  <si>
    <t>Купон по RU000A106K43 - РЖД 1Р-26R 1шт. по 14.58 RUR (данные из БД)</t>
  </si>
  <si>
    <t>Амортизация ХэндрснБ01: 1 шт. по 150 RUR.  (данные из БД)</t>
  </si>
  <si>
    <t>Купон по RU000A103Q08 - ХэндрснБ01 1шт. по 15.71 RUR (данные из БД)</t>
  </si>
  <si>
    <t>Купон по RU000A1068R1 - РСХБ2Р2 2шт. по 14.76 RUR (данные из БД)</t>
  </si>
  <si>
    <t>Выплата дивидендов по MAGN - ММК (данные из сделок)</t>
  </si>
  <si>
    <t>Амортизация Ульоб35002: 2 шт. по 200 RUR.  (данные из БД)</t>
  </si>
  <si>
    <t>Частичное погашение облигаций по RU000A101U61 - Ульоб35002 (данные из сделок)</t>
  </si>
  <si>
    <t>Дивиденд по MSNG - +МосЭнерго 1000шт. по 0.16 RUR (данные из БД)</t>
  </si>
  <si>
    <t>Дивиденд по TATN - Татнфт 3ао 1шт. по 25.17 RUR (данные из БД)</t>
  </si>
  <si>
    <t>Дивиденд по SBER - Сбербанк 130шт. по 33.3 RUR (данные из БД)</t>
  </si>
  <si>
    <t>Дивиденд по SBERP - Сбербанк-п 30шт. по 33.3 RUR (данные из БД)</t>
  </si>
  <si>
    <t>Дивиденд по MTSS - МТС-ао 10шт. по 35 RUR (данные из БД)</t>
  </si>
  <si>
    <t>Дивиденд по AFKS - Система ао 100шт. по 0.52 RUR (данные из БД)</t>
  </si>
  <si>
    <t>Дивиденд по SNGS - Сургнфгз 100шт. по 0.85 RUR (данные из БД)</t>
  </si>
  <si>
    <t>Дивиденд по SNGSP - Сургнфгз-п 100шт. по 12.29 RUR (данные из БД)</t>
  </si>
  <si>
    <t>Дивиденд по FLOT - Совкомфлот 10шт. по 11.27 RUR (данные из БД)</t>
  </si>
  <si>
    <t>Купон по RU000A106K43 - РЖД 1Р-26R 1шт. по 14.59 RUR (данные из БД)</t>
  </si>
  <si>
    <t>Купон по RU000A1042W6 - ВЭБP-31 1шт. по 43.42 RUR (данные из БД)</t>
  </si>
  <si>
    <t>Выплата дивидендов по FLOT - Совкомфлот (данные из сделок)</t>
  </si>
  <si>
    <t>Выплата дивидендов по MSNG - +МосЭнерго (данные из сделок)</t>
  </si>
  <si>
    <t>Амортизация iПМЕДДМ1Р2: 1 шт. по 1000 RUR.  (данные из БД)</t>
  </si>
  <si>
    <t>Купон по RU000A1068R1 - РСХБ2Р2 2шт. по 14.74 RUR (данные из БД)</t>
  </si>
  <si>
    <t>Купон по RU000A1075S4 - ИКС5Фин3P2 2шт. по 14.05 RUR (данные из БД)</t>
  </si>
  <si>
    <t>Полное погашение облигаций по RU000A103G91 - iПМЕДДМ1Р2 (данные из сделок)</t>
  </si>
  <si>
    <t>Купон по RU000A105CM4 - Новотр 1Р3 1шт. по 29.17 RUR (данные из БД)</t>
  </si>
  <si>
    <t>Выплата дивидендов по MTSS - МТС-ао (данные из сделок)</t>
  </si>
  <si>
    <t>Выплата купонов по RU000A1075S4 - ИКС5Фин3P2 (данные из сделок)</t>
  </si>
  <si>
    <t>Купон по SU29006RMFS2 - ОФЗ 29006 1шт. по 72.6 RUR (данные из БД)</t>
  </si>
  <si>
    <t>Купон по SU29024RMFS5 - ОФЗ 29024 1шт. по 39.45 RUR (данные из БД)</t>
  </si>
  <si>
    <t>Купон по SU26239RMFS2 - ОФЗ 26239 1шт. по 34.41 RUR (данные из БД)</t>
  </si>
  <si>
    <t>Купон по SU26233RMFS5 - ОФЗ 26233 30шт. по 30.42 RUR (данные из БД)</t>
  </si>
  <si>
    <t>Выплата купонов по RU000A105CM4 - Новотр 1Р3 (данные из сделок)</t>
  </si>
  <si>
    <t>Выплата купонов по SU26239RMFS2 - ОФЗ 26239 (данные из сделок)</t>
  </si>
  <si>
    <t>Купон по SU52002RMFS1 - ОФЗ 52002 2шт. по 18.82 RUR (данные из БД)</t>
  </si>
  <si>
    <t>Выплата купонов по SU52002RMFS1 - ОФЗ 52002 (данные из сделок)</t>
  </si>
  <si>
    <t>Купон по SU26240RMFS0 - ОФЗ 26240 18шт. по 34.9 RUR (данные из БД)</t>
  </si>
  <si>
    <t>Амортизация ТАЛАНФБ1P3: 2 шт. по 200 RUR.  (данные из БД)</t>
  </si>
  <si>
    <t>Купон по RU000A1043B8 - ТАЛАНФБ1P3 2шт. по 27.55 RUR (данные из БД)</t>
  </si>
  <si>
    <t>Полное погашение облигаций по RU000A0JY031 - МФ МарЭл17 (данные из сделок)</t>
  </si>
  <si>
    <t>Купон по RU000A103760 - ХКФБанкБ04 2шт. по 19.95 RUR (данные из БД)</t>
  </si>
  <si>
    <t>Купон по SU26242RMFS6 - ОФЗ 26242 4шт. по 44.88 RUR (данные из БД)</t>
  </si>
  <si>
    <t>Купон по SU29007RMFS0 - ОФЗ 29007 1шт. по 78.63 RUR (данные из БД)</t>
  </si>
  <si>
    <t>Купон по RU000A103828 - ЭТС 1Р04 1шт. по 11.45 RUR (данные из БД)</t>
  </si>
  <si>
    <t>Выплата купонов по SU26242RMFS6 - ОФЗ 26242 (данные из сделок)</t>
  </si>
  <si>
    <t>Купон по SU26235RMFS0 - ОФЗ 26235 11шт. по 29.42 RUR (данные из БД)</t>
  </si>
  <si>
    <t>Купон по RU000A106K43 - РЖД 1Р-26R 1шт. по 15.3 RUR (данные из БД)</t>
  </si>
  <si>
    <t>Купон по RU000A103Q08 - ХэндрснБ01 1шт. по 11.78 RUR (данные из БД)</t>
  </si>
  <si>
    <t>Купон по SU52004RMFS7 - ОФЗ 52004 4шт. по 16.26 RUR (данные из БД)</t>
  </si>
  <si>
    <t>Купон по SU26244RMFS2 - ОФЗ 26244 7шт. по 56.1 RUR (данные из БД)</t>
  </si>
  <si>
    <t>Купон по RU000A1061K1 - ЕвроТранс3 1шт. по 11.18 RUR (данные из БД)</t>
  </si>
  <si>
    <t>Купон по SU26218RMFS6 - ОФЗ 26218 5шт. по 42.38 RUR (данные из БД)</t>
  </si>
  <si>
    <t>Купон по RU000A1068R1 - РСХБ2Р2 2шт. по 15.61 RUR (данные из БД)</t>
  </si>
  <si>
    <t>Выплата купонов по RU000A1061K1 - ЕвроТранс3 (данные из сделок)</t>
  </si>
  <si>
    <t>Купон по RU000A1075S4 - ИКС5Фин3P2 2шт. по 15.7 RUR (данные из БД)</t>
  </si>
  <si>
    <t>Дивиденд по RTKM - Ростел -ао 40шт. по 6.06 RUR (данные из БД)</t>
  </si>
  <si>
    <t>Купон по SU26221RMFS0 - ОФЗ 26221 6шт. по 38.39 RUR (данные из БД)</t>
  </si>
  <si>
    <t>Купон по SU26230RMFS1 - ОФЗ 26230 16шт. по 38.39 RUR (данные из БД)</t>
  </si>
  <si>
    <t>Купон по RU000A0JVM81 - Оренб35003 1шт. по 6.98 RUR (данные из БД)</t>
  </si>
  <si>
    <t>Дивиденд по TATN - Татнфт 3ао 1шт. по 38.2 RUR (данные из БД)</t>
  </si>
  <si>
    <t>Купон по SU29008RMFS8 - ОФЗ 29008 5шт. по 82.22 RUR (данные из БД)</t>
  </si>
  <si>
    <t>Дивиденд по NVTK - Новатэк ао 1шт. по 35.5 RUR (данные из БД)</t>
  </si>
  <si>
    <t>Выплата дивидендов по RTKM - Публичное акционерное общество Ростелеком (данные из сделок)</t>
  </si>
  <si>
    <t>Купон по RU000A101XN7 - Систем1P14 1шт. по 26.18 RUR (данные из БД)</t>
  </si>
  <si>
    <t>Купон по SU26228RMFS5 - ОФЗ 26228 10шт. по 38.15 RUR (данные из БД)</t>
  </si>
  <si>
    <t>Дивиденд по MAGN - ММК 30шт. по 2.49 RUR (данные из БД)</t>
  </si>
  <si>
    <t>Выплата купонов по RU000A101XN7 - Систем1P14 (данные из сделок)</t>
  </si>
  <si>
    <t>Дивиденд по ALRS - АЛРОСА ао 10шт. по 2.49 RUR (данные из БД)</t>
  </si>
  <si>
    <t>Купон по RU000A1042W6 - ВЭБP-31 1шт. по 48.3 RUR (данные из БД)</t>
  </si>
  <si>
    <t>Купон по RU000A106K43 - РЖД 1Р-26R 1шт. по 16.6 RUR (данные из БД)</t>
  </si>
  <si>
    <t>Купон по RU000A1068R1 - РСХБ2Р2 2шт. по 16.85 RUR (данные из БД)</t>
  </si>
  <si>
    <t>Купон по RU000A1075S4 - ИКС5Фин3P2 2шт. по 16.52 RUR (данные из БД)</t>
  </si>
  <si>
    <t>Купон по RU000A105CM4 - Новотр 1Р3 2шт. по 29.17 RUR (данные из БД)</t>
  </si>
  <si>
    <t>Купон по SU29024RMFS5 - ОФЗ 29024 1шт. по 44.89 RUR (данные из БД)</t>
  </si>
  <si>
    <t>Купон по RU000A1003A4 - ГТЛК 1P-13 1шт. по 23.86 RUR (данные из БД)</t>
  </si>
  <si>
    <t>Выплата купонов по RU000A1003A4 - ГТЛК 1P-13 (данные из сделок)</t>
  </si>
  <si>
    <t>Выплата дивидендов по ALRS - АЛРОСА ао (данные из сделок)</t>
  </si>
  <si>
    <t>Купон по SU29009RMFS6 - ОФЗ 29009 7шт. по 84.97 RUR (данные из БД)</t>
  </si>
  <si>
    <t>Амортизация ТАЛАНФБ1P3: 2 шт. по 250 RUR.  (данные из БД)</t>
  </si>
  <si>
    <t>Купон по RU000A1043B8 - ТАЛАНФБ1P3 2шт. по 21.07 RUR (данные из БД)</t>
  </si>
  <si>
    <t>Купон по SU52005RMFS4 - ОФЗ 52005 6шт. по 14.15 RUR (данные из БД)</t>
  </si>
  <si>
    <t>Купон по RU000A106K43 - РЖД 1Р-26R 1шт. по 16.79 RUR (данные из БД)</t>
  </si>
  <si>
    <t>Купон по RU000A106AT1 - ГазпромКP6 1шт. по 24.93 RUR (данные из БД)</t>
  </si>
  <si>
    <t>Купон по RU000A1068R1 - РСХБ2Р2 2шт. по 16.98 RUR (данные из БД)</t>
  </si>
  <si>
    <t>Купон по SU26241RMFS8 - ОФЗ 26241 9шт. по 47.37 RUR (данные из БД)</t>
  </si>
  <si>
    <t>Купон по SU26247RMFS5 - ОФЗ 26247 1шт. по 65.78 RUR (данные из БД)</t>
  </si>
  <si>
    <t>Выплата купонов по RU000A106AT1 - ГазпромКP6 (данные из сделок)</t>
  </si>
  <si>
    <t>Выплата купонов по SU26247RMFS5 - ОФЗ 26247 (данные из сделок)</t>
  </si>
  <si>
    <t>Купон по RU000A105KB0 - ГТЛК 2P-02 1шт. по 29.17 RUR (данные из БД)</t>
  </si>
  <si>
    <t>Купон по RU000A104V75 - ПочтаР2P01 1шт. по 56.84 RUR (данные из БД)</t>
  </si>
  <si>
    <t>Купон по SU26248RMFS3 - ОФЗ 26248 1шт. по 68.13 RUR (данные из БД)</t>
  </si>
  <si>
    <t>Купон по SU26243RMFS4 - ОФЗ 26243 10шт. по 48.87 RUR (данные из БД)</t>
  </si>
  <si>
    <t>Купон по RU000A101SC0 - ГТЛК 1P-18 1шт. по 19.55 RUR (данные из БД)</t>
  </si>
  <si>
    <t>Купон по SU26238RMFS4 - ОФЗ 26238 22шт. по 35.4 RUR (данные из БД)</t>
  </si>
  <si>
    <t>Выплата купонов по RU000A105KB0 - ГТЛК 2P-02 (данные из сделок)</t>
  </si>
  <si>
    <t>Купон по RU000A103828 - ЭТС 1Р04 1шт. по 9.8 RUR (данные из БД)</t>
  </si>
  <si>
    <t>Купон по RU000A107W06 - Новотр 1Р5 1шт. по 35.53 RUR (данные из БД)</t>
  </si>
  <si>
    <t>Выплата купонов по SU26248RMFS3 - ОФЗ 26248 (данные из сделок)</t>
  </si>
  <si>
    <t>Выплата купонов по RU000A104V75 - ПочтаР2P01 (данные из сделок)</t>
  </si>
  <si>
    <t>Выплата купонов по RU000A101SC0 - ГТЛК 1P-18 (данные из сделок)</t>
  </si>
  <si>
    <t>Выплата купонов по RU000A107W06 - Новотр 1Р5 (данные из сделок)</t>
  </si>
  <si>
    <t>Дивиденд по PLZL - Полюс 1шт. по 1301.75 RUR (данные из БД)</t>
  </si>
  <si>
    <t>Выплата дивидендов по PLZL - Публичное акционерное общество Полюс (данные из сделок)</t>
  </si>
  <si>
    <t>Купон по SU29010RMFS4 - ОФЗ 29010 10шт. по 86.31 RUR (данные из БД)</t>
  </si>
  <si>
    <t>Купон по RU000A103Q08 - ХэндрснБ01 1шт. по 7.85 RUR (данные из БД)</t>
  </si>
  <si>
    <t>Купон по RU000A106K43 - РЖД 1Р-26R 1шт. по 18.06 RUR (данные из БД)</t>
  </si>
  <si>
    <t>Купон по RU000A1075S4 - ИКС5Фин3P2 2шт. по 18.16 RUR (данные из БД)</t>
  </si>
  <si>
    <t>Амортизация Ульоб35002: 2 шт. по 100 RUR.  (данные из БД)</t>
  </si>
  <si>
    <t>Купон по RU000A101U61 - Ульоб35002 2шт. по 26.33 RUR (данные из БД)</t>
  </si>
  <si>
    <t>Купон по RU000A1068R1 - РСХБ2Р2 2шт. по 18.39 RUR (данные из БД)</t>
  </si>
  <si>
    <t>Дивиденд по TATN - Татнфт 3ао 9шт. по 17.39 RUR (данные из БД)</t>
  </si>
  <si>
    <t>Купон по RU000A100N12 - Систем1P11 1шт. по 54.35 RUR (данные из БД)</t>
  </si>
  <si>
    <t>Амортизация АБЗ-1 1Р04: 1 шт. по 165 RUR.  (данные из БД)</t>
  </si>
  <si>
    <t>Выплата купонов по RU000A100N12 - Систем1P11 (данные из сделок)</t>
  </si>
  <si>
    <t>Купон по RU000A1042W6 - ВЭБP-31 1шт. по 55.05 RUR (данные из БД)</t>
  </si>
  <si>
    <t>Частичное погашение облигаций по RU000A1065B1 - АБЗ-1 1Р04 (данные из сделок)</t>
  </si>
  <si>
    <t>Выплата дивидендов по TATN - Татнфт 3ао (данные из сделок)</t>
  </si>
  <si>
    <t>Купон по RU000A106K43 - РЖД 1Р-26R 1шт. по 18.98 RUR (данные из БД)</t>
  </si>
  <si>
    <t>Амортизация ОФЗ 29006: 1 шт. по 1000 RUR.  (данные из БД)</t>
  </si>
  <si>
    <t>Купон по RU000A1068R1 - РСХБ2Р2 2шт. по 19.2 RUR (данные из БД)</t>
  </si>
  <si>
    <t>Купон по SU26239RMFS2 - ОФЗ 26239 4шт. по 34.41 RUR (данные из БД)</t>
  </si>
  <si>
    <t>Купон по SU29024RMFS5 - ОФЗ 29024 1шт. по 51.52 RUR (данные из БД)</t>
  </si>
  <si>
    <t>Купон по SU29006RMFS2 - ОФЗ 29006 1шт. по 84.72 RUR (данные из БД)</t>
  </si>
  <si>
    <t>Полное погашение облигаций по SU29006RMFS2 - ОФЗ 29006 (данные из сделок)</t>
  </si>
  <si>
    <t>Купон по RU000A106P06 - ВСК 1P-04R 3шт. по 59.84 RUR (данные из БД)</t>
  </si>
  <si>
    <t>Выплата купонов по RU000A106P06 - ВСК 1P-04R (данные из сделок)</t>
  </si>
  <si>
    <t>Купон по SU52002RMFS1 - ОФЗ 52002 2шт. по 19.58 RUR (данные из БД)</t>
  </si>
  <si>
    <t>Купон по RU000A105VC5 - Полюс Б1P3 3шт. по 51.86 RUR (данные из БД)</t>
  </si>
  <si>
    <t>Купон по RU000A1043B8 - ТАЛАНФБ1P3 2шт. по 12.96 RUR (данные из БД)</t>
  </si>
  <si>
    <t>Выплата купонов по RU000A105VC5 - Полюс Б1P3 (данные из сделок)</t>
  </si>
  <si>
    <t>Купон по RU000A0ZYVU5 - Роснфт2P5 2шт. по 44.88 RUR (данные из БД)</t>
  </si>
  <si>
    <t>Выплата купонов по RU000A0ZYVU5 - Роснфт2P5 (данные из сделок)</t>
  </si>
  <si>
    <t>Купон по RU000A106K43 - РЖД 1Р-26R 1шт. по 18.67 RUR (данные из БД)</t>
  </si>
  <si>
    <t>Купон по RU000A106AT1 - ГазпромКP6 3шт. по 24.93 RUR (данные из БД)</t>
  </si>
  <si>
    <t>Ввод ДС</t>
  </si>
  <si>
    <t>Купон по RU000A1068R1 - РСХБ2Р2 2шт. по 18.82 RUR (данные из БД)</t>
  </si>
  <si>
    <t>Купон по SU29007RMFS0 - ОФЗ 29007 1шт. по 87.01 RUR (данные из БД)</t>
  </si>
  <si>
    <t>Купон по RU000A103828 - ЭТС 1Р04 1шт. по 8.15 RUR (данные из БД)</t>
  </si>
  <si>
    <t>Купон по RU000A1017J5 - Газпнф3P2R 2шт. по 17.83 RUR (данные из БД)</t>
  </si>
  <si>
    <t>Выплата купонов по RU000A1017J5 - Газпнф3P2R (данные из сделок)</t>
  </si>
  <si>
    <t>Купон по SU26235RMFS0 - ОФЗ 26235 14шт. по 29.42 RUR (данные из БД)</t>
  </si>
  <si>
    <t>Купон по RU000A1007Z2 - РЖД 1Р-13R 2шт. по 45.38 RUR (данные из БД)</t>
  </si>
  <si>
    <t>Купон по RU000A103Q08 - ХэндрснБ01 1шт. по 3.93 RUR (данные из БД)</t>
  </si>
  <si>
    <t>Выплата купонов по RU000A1007Z2 - РЖД 1Р-13R (данные из сделок)</t>
  </si>
  <si>
    <t>Купон по SU26246RMFS7 - ОФЗ 26246 5шт. по 59.84 RUR (данные из БД)</t>
  </si>
  <si>
    <t>Купон по SU26218RMFS6 - ОФЗ 26218 10шт. по 42.38 RUR (данные из БД)</t>
  </si>
  <si>
    <t>Купон по SU52004RMFS7 - ОФЗ 52004 4шт. по 17.13 RUR (данные из БД)</t>
  </si>
  <si>
    <t>Полное погашение облигаций по RU000A103Q08 - ХэндрснБ01 (данные из сделок)</t>
  </si>
  <si>
    <t>Выплата купонов по SU26246RMFS7 - ОФЗ 26246 (данные из сделок)</t>
  </si>
  <si>
    <t>Купон по RU000A0JXN21 - СистемБ1P6 1шт. по 52.36 RUR (данные из БД)</t>
  </si>
  <si>
    <t>Купон по RU000A106K43 - РЖД 1Р-26R 1шт. по 18.7 RUR (данные из БД)</t>
  </si>
  <si>
    <t>Купон по RU000A1068R1 - РСХБ2Р2 2шт. по 18.86 RUR (данные из БД)</t>
  </si>
  <si>
    <t>Выплата купонов по RU000A0JXN21 - СистемБ1P6 (данные из сделок)</t>
  </si>
  <si>
    <t>Купон по SU26230RMFS1 - ОФЗ 26230 17шт. по 38.39 RUR (данные из БД)</t>
  </si>
  <si>
    <t>Купон по SU26221RMFS0 - ОФЗ 26221 9шт. по 38.39 RUR (данные из БД)</t>
  </si>
  <si>
    <t>Купон по RU000A109PF2 - РЖД 1Р-33R 1шт. по 18.76 RUR (данные из БД)</t>
  </si>
  <si>
    <t>Купон по SU26245RMFS9 - ОФЗ 26245 3шт. по 59.84 RUR (данные из БД)</t>
  </si>
  <si>
    <t>Купон по SU29008RMFS8 - ОФЗ 29008 5шт. по 90.15 RUR (данные из БД)</t>
  </si>
  <si>
    <t>Выплата купонов по SU26245RMFS9 - ОФЗ 26245 (данные из сделок)</t>
  </si>
  <si>
    <t>Купон по RU000A106ZL5 - РЖД 1Р-28R 1шт. по 18.84 RUR (данные из БД)</t>
  </si>
  <si>
    <t>Купон по RU000A102952 - ВИС Ф БП01 1шт. по 24.93 RUR (данные из БД)</t>
  </si>
  <si>
    <t>Купон по RU000A0JXPN8 - Ростел1P2R 1шт. по 97.23 RUR (данные из БД)</t>
  </si>
  <si>
    <t>Купон по SU26228RMFS5 - ОФЗ 26228 13шт. по 38.15 RUR (данные из БД)</t>
  </si>
  <si>
    <t>Выплата купонов по RU000A106ZL5 - РЖД 1Р-28R (данные из сделок)</t>
  </si>
  <si>
    <t>Выплата купонов по RU000A102952 - ВИС Ф БП01 (данные из сделок)</t>
  </si>
  <si>
    <t>Выплата купонов по RU000A0JXPN8 - Ростел1P2R (данные из сделок)</t>
  </si>
  <si>
    <t>Купон по RU000A1065B1 - АБЗ-1 1Р04 1шт. по 28.62 RUR (данные из БД)</t>
  </si>
  <si>
    <t>Купон по RU000A1042W6 - ВЭБP-31 1шт. по 56.52 RUR (данные из БД)</t>
  </si>
  <si>
    <t>Дивиденд по PLZL - Полюс 10шт. по 73 RUR (данные из БД)</t>
  </si>
  <si>
    <t>Купон по RU000A106K43 - РЖД 1Р-26R 1шт. по 19.17 RUR (данные из БД)</t>
  </si>
  <si>
    <t>Дивиденд по NVTK - Новатэк ао 1шт. по 46.65 RUR (данные из БД)</t>
  </si>
  <si>
    <t>Выплата дивидендов по PLZL - Полюс (данные из сделок)</t>
  </si>
  <si>
    <t>Амортизация Беларусь07: 1 шт. по 1000 RUR.  (данные из БД)</t>
  </si>
  <si>
    <t>Купон по SU29024RMFS5 - ОФЗ 29024 1шт. по 52.59 RUR (данные из БД)</t>
  </si>
  <si>
    <t>Купон по RU000A1068R1 - РСХБ2Р2 2шт. по 19.38 RUR (данные из БД)</t>
  </si>
  <si>
    <t>Купон по RU000A104SX0 - РЖД 1Р-24R 1шт. по 59.19 RUR (данные из БД)</t>
  </si>
  <si>
    <t>Дивиденд по BSPB - БСП ао 10шт. по 29.72 RUR (данные из БД)</t>
  </si>
  <si>
    <t>Полное погашение облигаций по RU000A100D89 - Беларусь07 (данные из сделок)</t>
  </si>
  <si>
    <t>Выплата купонов по RU000A104SX0 - РЖД 1Р-24R (данные из сделок)</t>
  </si>
  <si>
    <t>Купон по RU000A109PF2 - РЖД 1Р-33R 1шт. по 19.24 RUR (данные из БД)</t>
  </si>
  <si>
    <t>Купон по RU000A10B933 - Селигдар3Р 1шт. по 19.11 RUR (данные из БД)</t>
  </si>
  <si>
    <t>Купон по RU000A1008D7 - РЖД 1Р-14R 2шт. по 45.38 RUR (данные из БД)</t>
  </si>
  <si>
    <t>Выплата купонов по RU000A109PF2 - РЖД 1Р-33R (данные из сделок)</t>
  </si>
  <si>
    <t>Выплата дивидендов по BSPB - БСП ао (данные из сделок)</t>
  </si>
  <si>
    <t>Выплата купонов по RU000A1008D7 - РЖД 1Р-14R (данные из сделок)</t>
  </si>
  <si>
    <t>Выплата купонов по RU000A10B933 - Селигдар3Р (данные из сделок)</t>
  </si>
  <si>
    <t>Купон по SU29009RMFS6 - ОФЗ 29009 11шт. по 93.99 RUR (данные из БД)</t>
  </si>
  <si>
    <t>Дивиденд по T - Т-Техно ао 6шт. по 32 RUR (данные из БД)</t>
  </si>
  <si>
    <t>Купон по RU000A106ZL5 - РЖД 1Р-28R 1шт. по 19.21 RUR (данные из БД)</t>
  </si>
  <si>
    <t>Купон по RU000A1043B8 - ТАЛАНФБ1P3 2шт. по 6.48 RUR (данные из БД)</t>
  </si>
  <si>
    <t>Полное погашение облигаций по RU000A1043B8 - ТАЛАНФБ1P3 (данные из сделок)</t>
  </si>
  <si>
    <t>Купон по SU52005RMFS4 - ОФЗ 52005 6шт. по 14.99 RUR (данные из БД)</t>
  </si>
  <si>
    <t>Купон по SU26225RMFS1 - ОФЗ 26225 10шт. по 36.15 RUR (данные из БД)</t>
  </si>
  <si>
    <t>Купон по RU000A101GD3 - ГТЛК 1P-16 1шт. по 6.5 RUR (данные из БД)</t>
  </si>
  <si>
    <t>Купон по RU000A10BFX7 - СамолетP16 1шт. по 20.96 RUR (данные из БД)</t>
  </si>
  <si>
    <t>Выплата дивидендов по T - Т-Техно ао (данные из сделок)</t>
  </si>
  <si>
    <t>Выплата купонов по RU000A10BFX7 - СамолетP16 (данные из сделок)</t>
  </si>
  <si>
    <t>Купон по SU26241RMFS8 - ОФЗ 26241 10шт. по 47.37 RUR (данные из БД)</t>
  </si>
  <si>
    <t>Купон по SU26247RMFS5 - ОФЗ 26247 6шт. по 61.08 RUR (данные из БД)</t>
  </si>
  <si>
    <t>Купон по RU000A106K43 - РЖД 1Р-26R 1шт. по 19.2 RUR (данные из БД)</t>
  </si>
  <si>
    <t>Купон по RU000A10ATW2 - БалтЛизП15 1шт. по 19.48 RUR (данные из БД)</t>
  </si>
  <si>
    <t>Выплата купонов по RU000A10ATW2 - БалтЛизП15 (данные из сделок)</t>
  </si>
  <si>
    <t>Купон по RU000A1068R1 - РСХБ2Р2 2шт. по 19.3 RUR (данные из БД)</t>
  </si>
  <si>
    <t>Купон по RU000A102FS1 - Систем1P16 1шт. по 25.68 RUR (данные из БД)</t>
  </si>
  <si>
    <t>Дивиденд по TATN - Татнфт 3ао 10шт. по 43.11 RUR (данные из БД)</t>
  </si>
  <si>
    <t>Выплата купонов по RU000A102FS1 - Систем1P16 (данные из сделок)</t>
  </si>
  <si>
    <t>Амортизация ЭТС 1Р04: 1 шт. по 263 RUR.  (данные из БД)</t>
  </si>
  <si>
    <t>Купон по SU26243RMFS4 - ОФЗ 26243 12шт. по 48.87 RUR (данные из БД)</t>
  </si>
  <si>
    <t>Купон по SU26238RMFS4 - ОФЗ 26238 23шт. по 35.4 RUR (данные из БД)</t>
  </si>
  <si>
    <t>Купон по SU26248RMFS3 - ОФЗ 26248 8шт. по 61.08 RUR (данные из БД)</t>
  </si>
  <si>
    <t>Купон по RU000A103828 - ЭТС 1Р04 1шт. по 6.49 RUR (данные из БД)</t>
  </si>
  <si>
    <t>Полное погашение облигаций по RU000A103828 - ЭТС 1Р04 (данные из сделок)</t>
  </si>
  <si>
    <t>Купон по RU000A109PF2 - РЖД 1Р-33R 1шт. по 19.04 RUR (данные из БД)</t>
  </si>
  <si>
    <t>Дивиденд по IRAO - ИнтерРАОао 1400шт. по 0.35 RUR (данные из БД)</t>
  </si>
  <si>
    <t>Купон по RU000A102H91 - Автодор3Р1 1шт. по 28.95 RUR (данные из БД)</t>
  </si>
  <si>
    <t>Купон по RU000A106ZL5 - РЖД 1Р-28R 1шт. по 18.75 RUR (данные из БД)</t>
  </si>
  <si>
    <t>Купон по SU29010RMFS4 - ОФЗ 29010 14шт. по 99.33 RUR (данные из БД)</t>
  </si>
  <si>
    <t>Купон по RU000A101U61 - Ульоб35002 2шт. по 23.04 RUR (данные из БД)</t>
  </si>
  <si>
    <t>Купон по RU000A106K43 - РЖД 1Р-26R 1шт. по 18.73 RUR (данные из БД)</t>
  </si>
  <si>
    <t>Купон по RU000A1068R1 - РСХБ2Р2 2шт. по 18.91 RUR (данные из БД)</t>
  </si>
  <si>
    <t>Полное погашение облигаций по RU000A0JVM81 - Оренб35003 (данные из сделок)</t>
  </si>
  <si>
    <t>Купон по RU000A10BK17 - Газпн3P15R 2шт. по 1.64 RUR (данные из БД)</t>
  </si>
  <si>
    <t>Купон по RU000A100KY3 - Роснфт2P8 1шт. по 44.88 RUR (данные из БД)</t>
  </si>
  <si>
    <t>Дивиденд по MTSS - МТС-ао 20шт. по 35 RUR (данные из БД)</t>
  </si>
  <si>
    <t>Выплата купонов по RU000A10BK17 - Газпн3P15R (данные из сделок)</t>
  </si>
  <si>
    <t>Выплата купонов по RU000A100KY3 - Роснфт2P8 (данные из сделок)</t>
  </si>
  <si>
    <t>Дивиденд по MOEX - МосБиржа 30шт. по 26.11 RUR (данные из БД)</t>
  </si>
  <si>
    <t>Дивиденд по VTBR - ВТБ ао 50шт. по 25.58 RUR (данные из БД)</t>
  </si>
  <si>
    <t>Купон по RU000A102952 - ВИС Ф БП01 2шт. по 24.93 RUR (данные из БД)</t>
  </si>
  <si>
    <t>Амортизация ОФЗ 26234: 2 шт. по 1000 RUR.  (данные из БД)</t>
  </si>
  <si>
    <t>Дивиденд по SNGS - Сургнфгз 100шт. по 0.9 RUR (данные из БД)</t>
  </si>
  <si>
    <t>Дивиденд по SNGSP - Сургнфгз-п 100шт. по 8.5 RUR (данные из БД)</t>
  </si>
  <si>
    <t>Купон по RU000A104Z48 - ВЭБ2P-33 1шт. по 50.86 RUR (данные из БД)</t>
  </si>
  <si>
    <t>Дивиденд по T - Т-Техно ао 7шт. по 33 RUR (данные из БД)</t>
  </si>
  <si>
    <t>Купон по RU000A106ZL5 - РЖД 1Р-28R 1шт. по 18.68 RUR (данные из БД)</t>
  </si>
  <si>
    <t>Купон по RU000A10BFG2 - Атомэнпр05 2шт. по 43.13 RUR (данные из БД)</t>
  </si>
  <si>
    <t>Полное погашение облигаций по SU26234RMFS3 - ОФЗ 26234 (данные из сделок)</t>
  </si>
  <si>
    <t>Дивиденд по SBER - Сбербанк 200шт. по 34.84 RUR (данные из БД)</t>
  </si>
  <si>
    <t>Дивиденд по AFLT - Аэрофлот 60шт. по 5.27 RUR (данные из БД)</t>
  </si>
  <si>
    <t>Дивиденд по SBERP - Сбербанк-п 30шт. по 34.84 RUR (данные из БД)</t>
  </si>
  <si>
    <t>Выплата купонов по RU000A10BFG2 - Атомэнпр05 (данные из сделок)</t>
  </si>
  <si>
    <t>Выплата купонов по RU000A104Z48 - ВЭБ2P-33 (данные из сделок)</t>
  </si>
  <si>
    <t>Купон по RU000A100N12 - Систем1P11 2шт. по 54.35 RUR (данные из БД)</t>
  </si>
  <si>
    <t>Купон по RU000A1065B1 - АБЗ-1 1Р04 1шт. по 22.97 RUR (данные из БД)</t>
  </si>
  <si>
    <t>Купон по RU000A1042W6 - ВЭБP-31 1шт. по 54.58 RUR (данные из БД)</t>
  </si>
  <si>
    <t>Купон по RU000A1075S4 - ИКС5Фин3P2 2шт. по 17.34 RUR (данные из БД)</t>
  </si>
  <si>
    <t>Выплата дивидендов по VTBR - ВТБ ао (данные из сделок)</t>
  </si>
  <si>
    <t>Купон по RU000A106K43 - РЖД 1Р-26R 1шт. по 18.4 RUR (данные из БД)</t>
  </si>
  <si>
    <t>Купон по SU26233RMFS5 - ОФЗ 26233 31шт. по 30.42 RUR (данные из БД)</t>
  </si>
  <si>
    <t>Купон по SU29024RMFS5 - ОФЗ 29024 1шт. по 50.42 RUR (данные из БД)</t>
  </si>
  <si>
    <t>Купон по RU000A106P06 - ВСК 1P-04R 4шт. по 59.84 RUR (данные из БД)</t>
  </si>
  <si>
    <t>Выплата дивидендов по SNGS - публичное акционерное общество Сургутнефтегаз (данные из сделок)</t>
  </si>
  <si>
    <t>Купон по RU000A1068R1 - РСХБ2Р2 2шт. по 18.48 RUR (данные из БД)</t>
  </si>
  <si>
    <t>Купон по SU52002RMFS1 - ОФЗ 52002 2шт. по 20.73 RUR (данные из БД)</t>
  </si>
  <si>
    <t>Купон по RU000A109PF2 - РЖД 1Р-33R 1шт. по 18.16 RUR (данные из БД)</t>
  </si>
  <si>
    <t>Купон по SU26240RMFS0 - ОФЗ 26240 19шт. по 34.9 RUR (данные из БД)</t>
  </si>
  <si>
    <t>Дивиденд по RTKM - Ростел -ао 50шт. по 2.71 RUR (данные из БД)</t>
  </si>
  <si>
    <t>Купон по RU000A105VC5 - Полюс Б1P3 4шт. по 51.86 RUR (данные из БД)</t>
  </si>
  <si>
    <t>Купон по RU000A106ZL5 - РЖД 1Р-28R 1шт. по 17.87 RUR (данные из БД)</t>
  </si>
  <si>
    <t>Купон по RU000A0ZYVU5 - Роснфт2P5 3шт. по 44.88 RUR (данные из БД)</t>
  </si>
  <si>
    <t>Купон по RU000A106K43 - РЖД 1Р-26R 1шт. по 17.73 RUR (данные из БД)</t>
  </si>
  <si>
    <t>Купон по RU000A1068R1 - РСХБ2Р2 2шт. по 17.85 RUR (данные из БД)</t>
  </si>
  <si>
    <t>Купон по SU29007RMFS0 - ОФЗ 29007 1шт. по 106.71 RUR (данные из БД)</t>
  </si>
  <si>
    <t>Купон по RU000A109PF2 - РЖД 1Р-33R 1шт. по 17.45 RUR (данные из БД)</t>
  </si>
  <si>
    <t>Купон по RU000A106ZL5 - РЖД 1Р-28R 1шт. по 16.86 RUR (данные из БД)</t>
  </si>
  <si>
    <t>Купон по SU26244RMFS2 - ОФЗ 26244 9шт. по 56.1 RUR (данные из БД)</t>
  </si>
  <si>
    <t>Купон по SU26246RMFS7 - ОФЗ 26246 9шт. по 59.84 RUR (данные из БД)</t>
  </si>
  <si>
    <t>Купон по SU52004RMFS7 - ОФЗ 52004 4шт. по 17.81 RUR (данные из БД)</t>
  </si>
  <si>
    <t>Дивиденд по YDEX - ЯНДЕКС 2шт. по 80 RUR (данные из БД)</t>
  </si>
  <si>
    <t>Купон по RU000A106K43 - РЖД 1Р-26R 1шт. по 16.42 RUR (данные из БД)</t>
  </si>
  <si>
    <t>Купон по SU26221RMFS0 - ОФЗ 26221 12шт. по 38.39 RUR (данные из БД)</t>
  </si>
  <si>
    <t>Купон по RU000A1068R1 - РСХБ2Р2 2шт. по 16.48 RUR (данные из БД)</t>
  </si>
  <si>
    <t>Выплата дивидендов по YDEX - ЯНДЕКС (данные из сделок)</t>
  </si>
  <si>
    <t>Дивиденд по T - Т-Техно ао 7шт. по 35 RUR (данные из БД)</t>
  </si>
  <si>
    <t>Дивиденд по BSPB - БСП ао 10шт. по 16.61 RUR (данные из БД)</t>
  </si>
  <si>
    <t>Купон по SU29008RMFS8 - ОФЗ 29008 5шт. по 110.05 RUR (данные из БД)</t>
  </si>
  <si>
    <t>Купон по SU26245RMFS9 - ОФЗ 26245 10шт. по 59.84 RUR (данные из БД)</t>
  </si>
  <si>
    <t>Купон по RU000A109PF2 - РЖД 1Р-33R 1шт. по 16.18 RUR (данные из БД)</t>
  </si>
  <si>
    <t>Дивиденд по PLZL - Полюс 10шт. по 70.85 RUR (данные из БД)</t>
  </si>
  <si>
    <t>Дивиденд по TATN - Татнфт 3ао 10шт. по 14.35 RUR (данные из БД)</t>
  </si>
  <si>
    <t>Купон по RU000A106ZL5 - РЖД 1Р-28R 1шт. по 16.05 RUR (данные из БД)</t>
  </si>
  <si>
    <t>Купон по RU000A1065B1 - АБЗ-1 1Р04 1шт. по 17.31 RUR (данные из БД)</t>
  </si>
  <si>
    <t>Купон по RU000A1075S4 - ИКС5Фин3P2 2шт. по 14.88 RUR (данные из БД)</t>
  </si>
  <si>
    <t>Купон по RU000A1042W6 - ВЭБP-31 1шт. по 47.7 RUR (данные из БД)</t>
  </si>
  <si>
    <t>Купон по SU29024RMFS5 - ОФЗ 29024 1шт. по 43.31 RUR (данные из БД)</t>
  </si>
  <si>
    <t>Купон по RU000A106K43 - РЖД 1Р-26R 1шт. по 15.87 RUR (данные из БД)</t>
  </si>
  <si>
    <t>Купон по RU000A1068R1 - РСХБ2Р2 2шт. по 15.98 RUR (данные из БД)</t>
  </si>
  <si>
    <t>Купон по RU000A109PF2 - РЖД 1Р-33R 1шт. по 15.67 RUR (данные из БД)</t>
  </si>
  <si>
    <t>Амортизация Ульоб34003: 1 шт. по 300 RUR.  (данные из БД)</t>
  </si>
  <si>
    <t>Купон по SU29009RMFS6 - ОФЗ 29009 11шт. по 112.04 RUR (данные из БД)</t>
  </si>
  <si>
    <t>Полное погашение облигаций по RU000A102CX8 - Ульоб34003 (данные из сделок)</t>
  </si>
  <si>
    <t>Купон по RU000A106ZL5 - РЖД 1Р-28R 1шт. по 15.35 RUR (данные из БД)</t>
  </si>
  <si>
    <t>Купон по SU26225RMFS1 - ОФЗ 26225 14шт. по 36.15 RUR (данные из БД)</t>
  </si>
  <si>
    <t>Купон по SU52005RMFS4 - ОФЗ 52005 6шт. по 15.33 RUR (данные из БД)</t>
  </si>
  <si>
    <t>Купон по SU26247RMFS5 - ОФЗ 26247 11шт. по 61.08 RUR (данные из БД)</t>
  </si>
  <si>
    <t>Купон по SU26241RMFS8 - ОФЗ 26241 12шт. по 47.37 RUR (данные из БД)</t>
  </si>
  <si>
    <t>Купон по RU000A106K43 - РЖД 1Р-26R 1шт. по 15.24 RUR (данные из БД)</t>
  </si>
  <si>
    <t>Амортизация ВСК 1P-01R: 2 шт. по 1000 RUR.  (данные из БД)</t>
  </si>
  <si>
    <t>Купон по RU000A105KR6 - ВСК 1P-03R 2шт. по 56.1 RUR (данные из БД)</t>
  </si>
  <si>
    <t>Купон по SU26243RMFS4 - ОФЗ 26243 17шт. по 48.87 RUR (данные из БД)</t>
  </si>
  <si>
    <t>Купон по SU26248RMFS3 - ОФЗ 26248 14шт. по 61.08 RUR (данные из БД)</t>
  </si>
  <si>
    <t>Купон по RU000A1068R1 - РСХБ2Р2 2шт. по 15.36 RUR (данные из БД)</t>
  </si>
  <si>
    <t>Полное погашение облигаций по RU000A102G50 - ВСК 1P-01R (данные из сделок)</t>
  </si>
  <si>
    <t>Амортизация Автодор3Р1: 1 шт. по 860 RUR.  (данные из БД)</t>
  </si>
  <si>
    <t>Купон по RU000A109PF2 - РЖД 1Р-33R 1шт. по 15.09 RUR (данные из БД)</t>
  </si>
  <si>
    <t>Полное погашение облигаций по RU000A102H91 - Автодор3Р1 (данные из сделок)</t>
  </si>
  <si>
    <t>Купон по SU29010RMFS4 - ОФЗ 29010 14шт. по 112.24 RUR (данные из БД)</t>
  </si>
  <si>
    <t>Купон по RU000A106ZL5 - РЖД 1Р-28R 1шт. по 14.92 RUR (данные из БД)</t>
  </si>
  <si>
    <t>Купон по RU000A1075S4 - ИКС5Фин3P2 2шт. по 14.47 RUR (данные из БД)</t>
  </si>
  <si>
    <t>Дивиденд по PLZL - Полюс 10шт. по 36 RUR (данные из БД)</t>
  </si>
  <si>
    <t>Купон по SU26249RMFS1 - ОФЗ 26249 3шт. по 54.85 RUR (данные из БД)</t>
  </si>
  <si>
    <t>Купон по SU26250RMFS9 - ОФЗ 26250 4шт. по 59.84 RUR (данные из БД)</t>
  </si>
  <si>
    <t>Выплата купонов по SU26250RMFS9 - ОФЗ 26250 (данные из сделок)</t>
  </si>
  <si>
    <t>Выплата купонов по SU26249RMFS1 - ОФЗ 26249 (данные из сделок)</t>
  </si>
  <si>
    <t>Купон по RU000A101U61 - Ульоб35002 2шт. по 16.45 RUR (данные из БД)</t>
  </si>
  <si>
    <t>Купон по RU000A106K43 - РЖД 1Р-26R 1шт. по 14.99 RUR (данные из БД)</t>
  </si>
  <si>
    <t>Купон по RU000A1068R1 - РСХБ2Р2 2шт. по 15.15 RUR (данные из БД)</t>
  </si>
  <si>
    <t>Дивиденд по T - Т-Техно ао 7шт. по 36 RUR (данные из БД)</t>
  </si>
  <si>
    <t>Купон по RU000A109PF2 - РЖД 1Р-33R 1шт. по 14.96 RUR (данные из БД)</t>
  </si>
  <si>
    <t>Дивиденд по TATN - Татнфт 3ао 10шт. по 8.13 RUR (данные из БД)</t>
  </si>
  <si>
    <t>Купон по RU000A106ZL5 - РЖД 1Р-28R 1шт. по 14.86 RUR (данные из БД)</t>
  </si>
  <si>
    <t>Купон по RU000A1065B1 - АБЗ-1 1Р04 1шт. по 11.66 RUR (данные из БД)</t>
  </si>
  <si>
    <t>Купон по RU000A1042W6 - ВЭБP-31 1шт. по 44.13 RUR (данные из БД)</t>
  </si>
  <si>
    <t>Амортизация Новотр 1Р3: 2 шт. по 125 RUR.  (данные из БД)</t>
  </si>
  <si>
    <t>Купон по SU29024RMFS5 - ОФЗ 29024 1шт. по 40.15 RUR (данные из БД)</t>
  </si>
  <si>
    <t>Купон по SU26239RMFS2 - ОФЗ 26239 6шт. по 34.41 RUR (данные из БД)</t>
  </si>
  <si>
    <t>Купон по SU26233RMFS5 - ОФЗ 26233 34шт. по 30.42 RUR (данные из БД)</t>
  </si>
  <si>
    <t>Частичное погашение облигаций по RU000A105CM4 - Новотр 1Р3 (данные из сделок)</t>
  </si>
  <si>
    <t>Купон по RU000A106K43 - РЖД 1Р-26R 1шт. по 14.78 RUR (данные из БД)</t>
  </si>
  <si>
    <t>Купон по RU000A1068R1 - РСХБ2Р2 2шт. по 14.91 RUR (данные из БД)</t>
  </si>
  <si>
    <t>Купон по SU52002RMFS1 - ОФЗ 52002 2шт. по 21.06 RUR (данные из БД)</t>
  </si>
  <si>
    <t>Купон по RU000A10CDZ5 - РЖД 1Р-45R 1шт. по 11.38 RUR (данные из БД)</t>
  </si>
  <si>
    <t>Купон по RU000A109PF2 - РЖД 1Р-33R 1шт. по 14.68 RUR (данные из БД)</t>
  </si>
  <si>
    <t>Выплата купонов по RU000A10CDZ5 - РЖД 1Р-45R (данные из сделок)</t>
  </si>
  <si>
    <t>Амортизация ЕАБР3P-006: 1 шт. по 1000 RUR.  (данные из БД)</t>
  </si>
  <si>
    <t>Полное погашение облигаций по RU000A105V90 - ЕАБР3P-006 (данные из сделок)</t>
  </si>
  <si>
    <t>Купон по RU000A10DJH8 - ПКТ 2P1 2шт. по 39.87 RUR (данные из БД)</t>
  </si>
  <si>
    <t>Купон по RU000A106ZL5 - РЖД 1Р-28R 1шт. по 14.48 RUR (данные из БД)</t>
  </si>
  <si>
    <t>Купон по RU000A10C6P6 - АФБАНК1Р15 2шт. по 13.77 RUR (данные из БД)</t>
  </si>
  <si>
    <t>Выплата купонов по RU000A10DJH8 - ПКТ 2P1 (данные из сделок)</t>
  </si>
  <si>
    <t>Купон по RU000A10DYC8 - ФПК2Р01 1шт. по 12.66 RUR (данные из БД)</t>
  </si>
  <si>
    <t>Купон по RU000A10BWC6 - iПозитивР3 1шт. по 14.79 RUR (данные из БД)</t>
  </si>
  <si>
    <t>Купон по RU000A10CKZ0 - ЕврХол3P04 1шт. по 11.42 RUR (данные из БД)</t>
  </si>
  <si>
    <t>Купон по RU000A10D9K0 - АФБАНК1Р16 2шт. по 13.68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</si>
  <si>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</si>
  <si>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</si>
  <si>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</si>
  <si>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</si>
  <si>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</si>
  <si>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</si>
  <si>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</si>
  <si>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</si>
  <si>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SU24021RMFS6</t>
  </si>
  <si>
    <t>RU000A100D89</t>
  </si>
  <si>
    <t>RU000A0JY031</t>
  </si>
  <si>
    <t>RU000A0JVM81</t>
  </si>
  <si>
    <t>GLTR</t>
  </si>
  <si>
    <t>FIXP</t>
  </si>
  <si>
    <t>HYDR</t>
  </si>
  <si>
    <t>SU29006RMFS2</t>
  </si>
  <si>
    <t>RU000A1043B8</t>
  </si>
  <si>
    <t>RU000A102G50</t>
  </si>
  <si>
    <t>RU000A105V90</t>
  </si>
  <si>
    <t>RU000A102H91</t>
  </si>
  <si>
    <t>FEES</t>
  </si>
  <si>
    <t>SGZH</t>
  </si>
  <si>
    <t>RU000A103G91</t>
  </si>
  <si>
    <t>RU000A103Q08</t>
  </si>
  <si>
    <t>SU26234RMFS3</t>
  </si>
  <si>
    <t>UPRO</t>
  </si>
  <si>
    <t>FLOT</t>
  </si>
  <si>
    <t>RU000A103828</t>
  </si>
  <si>
    <t>RU000A102CX8</t>
  </si>
  <si>
    <t>MSNG</t>
  </si>
  <si>
    <t>VKCO</t>
  </si>
  <si>
    <t>sell</t>
  </si>
  <si>
    <t>SBER
Сбербанк</t>
  </si>
  <si>
    <t>YDEX
ЯНДЕКС</t>
  </si>
  <si>
    <t>PLZL
Полюс</t>
  </si>
  <si>
    <t>T
Т-Техно ао</t>
  </si>
  <si>
    <t>SBERP
Сбербанк-п</t>
  </si>
  <si>
    <t>GAZP
ГАЗПРОМ ао</t>
  </si>
  <si>
    <t>MOEX
МосБиржа</t>
  </si>
  <si>
    <t>TATN
Татнфт 3ао</t>
  </si>
  <si>
    <t>IRAO
ИнтерРАОао</t>
  </si>
  <si>
    <t>MTSS
МТС-ао</t>
  </si>
  <si>
    <t>PIKK
ПИК ао</t>
  </si>
  <si>
    <t>VTBR
ВТБ ао</t>
  </si>
  <si>
    <t>SNGSP
Сургнфгз-п</t>
  </si>
  <si>
    <t>BSPB
БСП ао</t>
  </si>
  <si>
    <t>AFLT
Аэрофлот</t>
  </si>
  <si>
    <t>RTKM
Ростел -ао</t>
  </si>
  <si>
    <t>GMKN
ГМКНорНик</t>
  </si>
  <si>
    <t>AFKS
Система ао</t>
  </si>
  <si>
    <t>CBOM
МКБ ао</t>
  </si>
  <si>
    <t>SNGS
Сургнфгз</t>
  </si>
  <si>
    <t>NVTK
Новатэк ао</t>
  </si>
  <si>
    <t>NLMK
НЛМК ао</t>
  </si>
  <si>
    <t>MAGN
ММК</t>
  </si>
  <si>
    <t>RUAL
РУСАЛ ао</t>
  </si>
  <si>
    <t>ALRS
АЛРОСА ао</t>
  </si>
  <si>
    <t>SU26233RMFS5
ОФЗ 26233</t>
  </si>
  <si>
    <t>SU29010RMFS4
ОФЗ 29010</t>
  </si>
  <si>
    <t>SU26243RMFS4
ОФЗ 26243</t>
  </si>
  <si>
    <t>SU26238RMFS4
ОФЗ 26238</t>
  </si>
  <si>
    <t>SU26246RMFS7
ОФЗ 26246</t>
  </si>
  <si>
    <t>SU26248RMFS3
ОФЗ 26248</t>
  </si>
  <si>
    <t>SU26235RMFS0
ОФЗ 26235</t>
  </si>
  <si>
    <t>SU26230RMFS1
ОФЗ 26230</t>
  </si>
  <si>
    <t>SU29009RMFS6
ОФЗ 29009</t>
  </si>
  <si>
    <t>SU26240RMFS0
ОФЗ 26240</t>
  </si>
  <si>
    <t>SU26247RMFS5
ОФЗ 26247</t>
  </si>
  <si>
    <t>SU26241RMFS8
ОФЗ 26241</t>
  </si>
  <si>
    <t>SU26245RMFS9
ОФЗ 26245</t>
  </si>
  <si>
    <t>SU26228RMFS5
ОФЗ 26228</t>
  </si>
  <si>
    <t>SU26221RMFS0
ОФЗ 26221</t>
  </si>
  <si>
    <t>SU26244RMFS2
ОФЗ 26244</t>
  </si>
  <si>
    <t>SU26218RMFS6
ОФЗ 26218</t>
  </si>
  <si>
    <t>SU26225RMFS1
ОФЗ 26225</t>
  </si>
  <si>
    <t>SU52005RMFS4
ОФЗ 52005</t>
  </si>
  <si>
    <t>SU29008RMFS8
ОФЗ 29008</t>
  </si>
  <si>
    <t>SU26250RMFS9
ОФЗ 26250</t>
  </si>
  <si>
    <t>SU26249RMFS1
ОФЗ 26249</t>
  </si>
  <si>
    <t>RU000A106P06
ВСК 1P-04R</t>
  </si>
  <si>
    <t>SU26239RMFS2
ОФЗ 26239</t>
  </si>
  <si>
    <t>SU52004RMFS7
ОФЗ 52004</t>
  </si>
  <si>
    <t>RU000A105VC5
Полюс Б1P3</t>
  </si>
  <si>
    <t>SU26242RMFS6
ОФЗ 26242</t>
  </si>
  <si>
    <t>SU52002RMFS1
ОФЗ 52002</t>
  </si>
  <si>
    <t>SU26252RMFS5
ОФЗ 26252</t>
  </si>
  <si>
    <t>RU000A106AT1
ГазпромКP6</t>
  </si>
  <si>
    <t>RU000A0ZYVU5
Роснфт2P5</t>
  </si>
  <si>
    <t>RU000A10BFG2
Атомэнпр05</t>
  </si>
  <si>
    <t>RU000A10DCF7
Новотр 2Р1</t>
  </si>
  <si>
    <t>RU000A10D9K0
АФБАНК1Р16</t>
  </si>
  <si>
    <t>RU000A10DJH8
ПКТ 2P1</t>
  </si>
  <si>
    <t>RU000A10C6P6
АФБАНК1Р15</t>
  </si>
  <si>
    <t>RU000A10CWF7
ПГК3Р01</t>
  </si>
  <si>
    <t>RU000A103760
ХКФБанкБ04</t>
  </si>
  <si>
    <t>RU000A1068R1
РСХБ2Р2</t>
  </si>
  <si>
    <t>RU000A1075S4
ИКС5Фин3P2</t>
  </si>
  <si>
    <t>SU26253RMFS3
ОФЗ 26253</t>
  </si>
  <si>
    <t>SU26254RMFS1
ОФЗ 26254</t>
  </si>
  <si>
    <t>RU000A105KR6
ВСК 1P-03R</t>
  </si>
  <si>
    <t>RU000A100N12
Систем1P11</t>
  </si>
  <si>
    <t>RU000A102952
ВИС Ф БП01</t>
  </si>
  <si>
    <t>RU000A1007Z2
РЖД 1Р-13R</t>
  </si>
  <si>
    <t>RU000A1008D7
РЖД 1Р-14R</t>
  </si>
  <si>
    <t>RU000A105CM4
Новотр 1Р3</t>
  </si>
  <si>
    <t>RU000A1017J5
Газпнф3P2R</t>
  </si>
  <si>
    <t>RU000A10BK17
Газпн3P15R</t>
  </si>
  <si>
    <t>RU000A10B933
Селигдар3Р</t>
  </si>
  <si>
    <t>RU000A0JXPN8
Ростел1P2R</t>
  </si>
  <si>
    <t>SU29007RMFS0
ОФЗ 29007</t>
  </si>
  <si>
    <t>RU000A10BWC6
iПозитивР3</t>
  </si>
  <si>
    <t>RU000A10BFX7
СамолетP16</t>
  </si>
  <si>
    <t>RU000A10CKZ0
ЕврХол3P04</t>
  </si>
  <si>
    <t>RU000A10ATW2
БалтЛизП15</t>
  </si>
  <si>
    <t>RU000A10CDZ5
РЖД 1Р-45R</t>
  </si>
  <si>
    <t>RU000A109PF2
РЖД 1Р-33R</t>
  </si>
  <si>
    <t>RU000A104693
Систем1P23</t>
  </si>
  <si>
    <t>RU000A10DYC8
ФПК2Р01</t>
  </si>
  <si>
    <t>RU000A105KB0
ГТЛК 2P-02</t>
  </si>
  <si>
    <t>RU000A0JXN21
СистемБ1P6</t>
  </si>
  <si>
    <t>RU000A1042W6
ВЭБP-31</t>
  </si>
  <si>
    <t>RU000A103QK3
МэйлБ1Р1</t>
  </si>
  <si>
    <t>RU000A106K43
РЖД 1Р-26R</t>
  </si>
  <si>
    <t>RU000A107W06
Новотр 1Р5</t>
  </si>
  <si>
    <t>RU000A104SX0
РЖД 1Р-24R</t>
  </si>
  <si>
    <t>RU000A103G00
СТМ 1P2</t>
  </si>
  <si>
    <t>RU000A0ZYR91
ГТЛК 1P-08</t>
  </si>
  <si>
    <t>SU29024RMFS5
ОФЗ 29024</t>
  </si>
  <si>
    <t>RU000A101U61
Ульоб35002</t>
  </si>
  <si>
    <t>RU000A1003A4
ГТЛК 1P-13</t>
  </si>
  <si>
    <t>RU000A104Z48
ВЭБ2P-33</t>
  </si>
  <si>
    <t>RU000A101XN7
Систем1P14</t>
  </si>
  <si>
    <t>RU000A104V75
ПочтаР2P01</t>
  </si>
  <si>
    <t>RU000A104XR2
Автодор3Р2</t>
  </si>
  <si>
    <t>RU000A102FS1
Систем1P16</t>
  </si>
  <si>
    <t>RU000A106ZL5
РЖД 1Р-28R</t>
  </si>
  <si>
    <t>RU000A101SC0
ГТЛК 1P-18</t>
  </si>
  <si>
    <t>RU000A1061K1
ЕвроТранс3</t>
  </si>
  <si>
    <t>RU000A100KY3
Роснфт2P8</t>
  </si>
  <si>
    <t>RU000A101SD8
ГТЛК 1P-19</t>
  </si>
  <si>
    <t>RU000A101GD3
ГТЛК 1P-16</t>
  </si>
  <si>
    <t>RU000A1065B1
АБЗ-1 1Р04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</si>
  <si>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</si>
  <si>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</si>
  <si>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</si>
  <si>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</si>
  <si>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</si>
  <si>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</si>
  <si>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</si>
  <si>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</si>
  <si>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ОФЗ-ПК 24021 24/04/24</t>
  </si>
  <si>
    <t>Республика Беларусь 07</t>
  </si>
  <si>
    <t>Респ.Марий Эл 2017обл.08</t>
  </si>
  <si>
    <t>Оренбургская область 35003 об.</t>
  </si>
  <si>
    <t>ОФЗ-ПД 26235 12/03/2031</t>
  </si>
  <si>
    <t>"Магнитогорск.мет.комб" ПАО ао</t>
  </si>
  <si>
    <t>dohod</t>
  </si>
  <si>
    <t>Выплата купонов по RU000A0JY031 - МФ МарЭл17</t>
  </si>
  <si>
    <t>ОФЗ-ПД 26233 18/07/2035</t>
  </si>
  <si>
    <t>ОФЗ-ПД 26225 10/05/34</t>
  </si>
  <si>
    <t>ОФЗ-ПК 29009 05/05/32</t>
  </si>
  <si>
    <t>ГДР Globaltrans Invest ORD SHS</t>
  </si>
  <si>
    <t>ОФЗ-ПК 29010 06/12/34</t>
  </si>
  <si>
    <t>ПАО "НОВАТЭК" ао</t>
  </si>
  <si>
    <t>ао ПАО Банк ВТБ</t>
  </si>
  <si>
    <t>Выплата купонов по RU000A0JVM81 - Оренб35003</t>
  </si>
  <si>
    <t>amort</t>
  </si>
  <si>
    <t>Частичное погашение облигаций по RU000A0JVM81 - Оренб35003</t>
  </si>
  <si>
    <t>ГДР FixPrice Group PLC ORD SHS</t>
  </si>
  <si>
    <t>ПИК СЗ (ПАО) ао</t>
  </si>
  <si>
    <t>"Интер РАО" ПАО ао</t>
  </si>
  <si>
    <t>"Газпром" (ПАО) ао</t>
  </si>
  <si>
    <t>ПАО "Татнефть" ао</t>
  </si>
  <si>
    <t>Выплата купонов по SU24021RMFS6 - ОФЗ 24021</t>
  </si>
  <si>
    <t>Выплата купонов по SU26233RMFS5 - ОФЗ 26233</t>
  </si>
  <si>
    <t>GLDRUB_TOM</t>
  </si>
  <si>
    <t>GLD/RUB_TOM - GLD/РУБ</t>
  </si>
  <si>
    <t>selt</t>
  </si>
  <si>
    <t>Выплата купонов по SU26235RMFS0 - ОФЗ 26235</t>
  </si>
  <si>
    <t>ПАО "РусГидро"</t>
  </si>
  <si>
    <t>"МКБ" ПАО ао</t>
  </si>
  <si>
    <t>Выплата дивидендов по NVTK - Новатэк ао</t>
  </si>
  <si>
    <t>nalog</t>
  </si>
  <si>
    <t>Удержание налога по дивидендам по NVTK - Новатэк ао</t>
  </si>
  <si>
    <t>ГТЛК БО 001P-19</t>
  </si>
  <si>
    <t>Выплата дивидендов по GAZP - ГАЗПРОМ ао</t>
  </si>
  <si>
    <t>Удержание налога по дивидендам по GAZP - ГАЗПРОМ ао</t>
  </si>
  <si>
    <t>Удержание налога по дивидендам по TATN - публичное акционерное общество Татнефть имени В.Д. Шашина</t>
  </si>
  <si>
    <t>Выплата дивидендов по TATN - публичное акционерное общество Татнефть имени В.Д. Шашина</t>
  </si>
  <si>
    <t>Мэйл.Ру Финанс 001P-01</t>
  </si>
  <si>
    <t>АФК Система БО 001P-23</t>
  </si>
  <si>
    <t>Автодор ГК БО-003Р-02</t>
  </si>
  <si>
    <t>ОФЗ-ПД 26221 23/03/33</t>
  </si>
  <si>
    <t>ОФЗ-ПД 26230 16/03/39</t>
  </si>
  <si>
    <t>Выплата купонов по RU000A100D89 - Беларусь07</t>
  </si>
  <si>
    <t>Выплата купонов по SU29009RMFS6 - ОФЗ 29009</t>
  </si>
  <si>
    <t>Частичное погашение облигаций по RU000A0JY031 - МФ МарЭл17</t>
  </si>
  <si>
    <t>Выплата купонов по SU26225RMFS1 - ОФЗ 26225</t>
  </si>
  <si>
    <t>Выплата купонов по RU000A104693 - Систем1P23</t>
  </si>
  <si>
    <t>Выплата купонов по RU000A101SD8 - ГТЛК 1P-19</t>
  </si>
  <si>
    <t>ОФЗ-ПД 26238 15/05/2041</t>
  </si>
  <si>
    <t>ОФЗ-ПК 29008 03/10/29</t>
  </si>
  <si>
    <t>ОФЗ-ПК 29007 03/03/27</t>
  </si>
  <si>
    <t>ОФЗ-ПД 26240 30/07/2036</t>
  </si>
  <si>
    <t>ОФЗ-ПК 29006 29/01/25</t>
  </si>
  <si>
    <t>Сбербанк России ПАО ао</t>
  </si>
  <si>
    <t>Выплата купонов по SU29010RMFS4 - ОФЗ 29010</t>
  </si>
  <si>
    <t>ГТЛК БО 001Р-08</t>
  </si>
  <si>
    <t>АФК "Система" ПАО ао</t>
  </si>
  <si>
    <t>Сбербанк России ПАО ап</t>
  </si>
  <si>
    <t>Выплата купонов по RU000A0ZYR91 - ГТЛК 1P-08</t>
  </si>
  <si>
    <t>Выплата купонов по SU29006RMFS2 - ОФЗ 29006</t>
  </si>
  <si>
    <t>Выплата купонов по RU000A104XR2 - Автодор3Р2</t>
  </si>
  <si>
    <t>Выплата купонов по SU26240RMFS0 - ОФЗ 26240</t>
  </si>
  <si>
    <t>Аэрофлот-росс.авиалин(ПАО)ао</t>
  </si>
  <si>
    <t>ПАО Московская Биржа</t>
  </si>
  <si>
    <t>Выплата купонов по SU29007RMFS0 - ОФЗ 29007</t>
  </si>
  <si>
    <t>Сургутнефтегаз ПАО акции об.</t>
  </si>
  <si>
    <t>Полюс ПАО ао</t>
  </si>
  <si>
    <t>Выплата купонов по RU000A103QK3 - МэйлБ1Р1</t>
  </si>
  <si>
    <t>ОФЗ-ИН 52004 17/03/32</t>
  </si>
  <si>
    <t>Выплата купонов по SU52004RMFS7 - ОФЗ 52004</t>
  </si>
  <si>
    <t>Выплата купонов по SU26221RMFS0 - ОФЗ 26221</t>
  </si>
  <si>
    <t>Выплата купонов по SU26230RMFS1 - ОФЗ 26230</t>
  </si>
  <si>
    <t>ОФЗ-ИН 52005 11/05/33</t>
  </si>
  <si>
    <t>ГТЛК БО 001P-16</t>
  </si>
  <si>
    <t>Выплата купонов по SU29008RMFS8 - ОФЗ 29008</t>
  </si>
  <si>
    <t>Ростелеком (ПАО) ао.</t>
  </si>
  <si>
    <t>ТАЛАН-ФИНАНС БО 001Р-03</t>
  </si>
  <si>
    <t>ОФЗ-ПД 26228 10/04/30</t>
  </si>
  <si>
    <t>Выплата купонов по RU000A1043B8 - ТАЛАНФБ1P3</t>
  </si>
  <si>
    <t>Выплата дивидендов по SBERP - Сбербанк-п</t>
  </si>
  <si>
    <t>Удержание налога по дивидендам по SBERP - Сбербанк-п</t>
  </si>
  <si>
    <t>Выплата дивидендов по SBER - Сбербанк</t>
  </si>
  <si>
    <t>Удержание налога по дивидендам по SBER - Сбербанк</t>
  </si>
  <si>
    <t>Выплата купонов по RU000A101GD3 - ГТЛК 1P-16</t>
  </si>
  <si>
    <t>Восточная Стивидор.Ком 1P-01R</t>
  </si>
  <si>
    <t>Евразийский банк развития 3P-6</t>
  </si>
  <si>
    <t>Автодор ГК БО-003Р-01</t>
  </si>
  <si>
    <t>Синара Транспортные Машины 1P2</t>
  </si>
  <si>
    <t>Восточная Стивидор.Ком 1P-03R</t>
  </si>
  <si>
    <t>Сургутнефтегаз ПАО ап</t>
  </si>
  <si>
    <t>Выплата купонов по RU000A102G50 - ВСК 1P-01R</t>
  </si>
  <si>
    <t>Выплата купонов по SU26238RMFS4 - ОФЗ 26238</t>
  </si>
  <si>
    <t>Выплата купонов по RU000A102H91 - Автодор3Р1</t>
  </si>
  <si>
    <t>Выплата дивидендов по IRAO - ИнтерРАОао</t>
  </si>
  <si>
    <t>Удержание налога по дивидендам по IRAO - ИнтерРАОао</t>
  </si>
  <si>
    <t>"ФСК - Россети" ПАО</t>
  </si>
  <si>
    <t>Выплата дивидендов по MOEX - МосБиржа</t>
  </si>
  <si>
    <t>Удержание налога по дивидендам по MOEX - МосБиржа</t>
  </si>
  <si>
    <t>Сегежа ао</t>
  </si>
  <si>
    <t>Выплата дивидендов по HYDR - РусГидро</t>
  </si>
  <si>
    <t>Удержание налога по дивидендам по HYDR - РусГидро</t>
  </si>
  <si>
    <t>Выплата купонов по RU000A103G00 - СТМ 1P2</t>
  </si>
  <si>
    <t>Выплата дивидендов по AFKS - Система ао</t>
  </si>
  <si>
    <t>Удержание налога по дивидендам по AFKS - Система ао</t>
  </si>
  <si>
    <t>Выплата дивидендов по SNGS - Сургнфгз</t>
  </si>
  <si>
    <t>Удержание налога по дивидендам по SNGS - Сургнфгз</t>
  </si>
  <si>
    <t>Выплата дивидендов по SNGSP - Сургнфгз-п</t>
  </si>
  <si>
    <t>Удержание налога по дивидендам по SNGSP - Сургнфгз-п</t>
  </si>
  <si>
    <t>ОФЗ-ПД 26243 19/05/38</t>
  </si>
  <si>
    <t>ВЭБ.РФ ПБО-002Р-31</t>
  </si>
  <si>
    <t>ПРОМОМЕД ДМ 001P-02</t>
  </si>
  <si>
    <t>Россельхозбанк БO-02-002P</t>
  </si>
  <si>
    <t>ХэндерсонБ01</t>
  </si>
  <si>
    <t>ОФЗ-ПД 26234 16/07/2025</t>
  </si>
  <si>
    <t>Выплата купонов по RU000A105V90 - ЕАБР3P-006</t>
  </si>
  <si>
    <t>Выплата купонов по RU000A1068R1 - РСХБ2Р2</t>
  </si>
  <si>
    <t>Частичное погашение облигаций по RU000A103Q08 - ХэндрснБ01</t>
  </si>
  <si>
    <t>Выплата купонов по RU000A103Q08 - ХэндрснБ01</t>
  </si>
  <si>
    <t>Мобильные ТелеСистемы ПАО ао</t>
  </si>
  <si>
    <t>Выплата купонов по SU26228RMFS5 - ОФЗ 26228</t>
  </si>
  <si>
    <t>ОФЗ-ПК 29024 18/04/35</t>
  </si>
  <si>
    <t>Выплата купонов по RU000A1042W6 - ВЭБP-31</t>
  </si>
  <si>
    <t>Выплата купонов по SU29024RMFS5 - ОФЗ 29024</t>
  </si>
  <si>
    <t>Юнипро ПАО ао</t>
  </si>
  <si>
    <t>Выплата купонов по SU52005RMFS4 - ОФЗ 52005</t>
  </si>
  <si>
    <t>Выплата купонов по RU000A105KR6 - ВСК 1P-03R</t>
  </si>
  <si>
    <t>АБЗ-1 001P-04</t>
  </si>
  <si>
    <t>Минфин Ульяновской обл. 35002</t>
  </si>
  <si>
    <t>Выплата купонов по SU26243RMFS4 - ОФЗ 26243</t>
  </si>
  <si>
    <t>Частичное погашение облигаций по RU000A102H91 - Автодор3Р1</t>
  </si>
  <si>
    <t>Выплата дивидендов по RTKM - Ростел -ао</t>
  </si>
  <si>
    <t>Удержание налога по дивидендам по RTKM - Ростел -ао</t>
  </si>
  <si>
    <t>Выплата купонов по RU000A101U61 - Ульоб35002</t>
  </si>
  <si>
    <t>ОФЗ-ПД 26241 17/11/32</t>
  </si>
  <si>
    <t>ОФЗ-ПД 26244 15/03/34</t>
  </si>
  <si>
    <t>Выплата купонов по SU26234RMFS3 - ОФЗ 26234</t>
  </si>
  <si>
    <t>Выплата купонов по RU000A1065B1 - АБЗ-1 1Р04</t>
  </si>
  <si>
    <t>Выплата купонов по RU000A103G91 - iПМЕДДМ1Р2</t>
  </si>
  <si>
    <t>Совкомфлот ао</t>
  </si>
  <si>
    <t>Частичное погашение облигаций по RU000A101GD3 - ГТЛК 1P-16</t>
  </si>
  <si>
    <t>ОФЗ-ПД 26218 17/09/31</t>
  </si>
  <si>
    <t>ОФЗ-ПД 26242 29/08/29</t>
  </si>
  <si>
    <t>"ХКФ Банк" ООО БО-04</t>
  </si>
  <si>
    <t>ЭнергоТехСервис 001Р-04</t>
  </si>
  <si>
    <t>Минфин Ульяновской обл. 34003</t>
  </si>
  <si>
    <t>РЖД БО 001Р-26R</t>
  </si>
  <si>
    <t>Частичное погашение облигаций по RU000A103828 - ЭТС 1Р04</t>
  </si>
  <si>
    <t>Выплата купонов по RU000A103828 - ЭТС 1Р04</t>
  </si>
  <si>
    <t>Выплата купонов по RU000A106K43 - РЖД 1Р-26R</t>
  </si>
  <si>
    <t>Выплата купонов по SU26244RMFS2 - ОФЗ 26244</t>
  </si>
  <si>
    <t>Выплата купонов по SU26218RMFS6 - ОФЗ 26218</t>
  </si>
  <si>
    <t>Выплата дивидендов по NVTK.IL - PAO NOVATEK</t>
  </si>
  <si>
    <t>Удержание налога по дивидендам по NVTK.IL - PAO NOVATEK</t>
  </si>
  <si>
    <t>Полное погашение облигаций по SU24021RMFS6 - ОФЗ 24021</t>
  </si>
  <si>
    <t>ГМК "Нор.Никель" ПАО ао</t>
  </si>
  <si>
    <t>Выплата купонов по RU000A102CX8 - Ульоб34003</t>
  </si>
  <si>
    <t>Частичное погашение облигаций по RU000A1043B8 - ТАЛАНФБ1P3</t>
  </si>
  <si>
    <t>Выплата купонов по SU26241RMFS8 - ОФЗ 26241</t>
  </si>
  <si>
    <t>ОФЗ-ПД 26239 23/07/2031</t>
  </si>
  <si>
    <t>Выплата купонов по RU000A103760 - ХКФБанкБ04</t>
  </si>
  <si>
    <t>Выплата дивидендов по MAGN - ММК</t>
  </si>
  <si>
    <t>Удержание налога по дивидендам по MAGN - ММК</t>
  </si>
  <si>
    <t>РУСАЛ ОК МКПАО ао</t>
  </si>
  <si>
    <t>АЛРОСА ПАО ао</t>
  </si>
  <si>
    <t>МосЭнерго акции обыкн.</t>
  </si>
  <si>
    <t>ИКС 5 ФИНАНС 003Р-02</t>
  </si>
  <si>
    <t>ХК Новотранс 001P-03</t>
  </si>
  <si>
    <t>ОФЗ-ИН 52002 02/02/28</t>
  </si>
  <si>
    <t>Частичное погашение облигаций по RU000A101U61 - Ульоб35002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</si>
  <si>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</si>
  <si>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</si>
  <si>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MSNG - +МосЭнерго</t>
  </si>
  <si>
    <t>Удержание налога по дивидендам по MSNG - +МосЭнерго</t>
  </si>
  <si>
    <t>Полное погашение облигаций по RU000A103G91 - iПМЕДДМ1Р2</t>
  </si>
  <si>
    <t>Удержание налога по дивидендам по MTSS - МТС-ао</t>
  </si>
  <si>
    <t>Выплата дивидендов по MTSS - МТС-ао</t>
  </si>
  <si>
    <t>Выплата купонов по RU000A1075S4 - ИКС5Фин3P2</t>
  </si>
  <si>
    <t>Выплата купонов по RU000A105CM4 - Новотр 1Р3</t>
  </si>
  <si>
    <t>Выплата купонов по SU26239RMFS2 - ОФЗ 26239</t>
  </si>
  <si>
    <t>Выплата купонов по SU52002RMFS1 - ОФЗ 52002</t>
  </si>
  <si>
    <t>Полное погашение облигаций по RU000A0JY031 - МФ МарЭл17</t>
  </si>
  <si>
    <t>Выплата купонов по SU26242RMFS6 - ОФЗ 26242</t>
  </si>
  <si>
    <t>ЕвроТранс БО-001Р-03</t>
  </si>
  <si>
    <t>ХК Новотранс 001P-05</t>
  </si>
  <si>
    <t>Газпром капитал ООО БО-001Р-06</t>
  </si>
  <si>
    <t>Полюс ПБО-03</t>
  </si>
  <si>
    <t>ГТЛК БО 001P-13</t>
  </si>
  <si>
    <t>ГТЛК БО 002P-02</t>
  </si>
  <si>
    <t>ГТЛК БО 001P-18</t>
  </si>
  <si>
    <t>АФК Система БО 001P-11</t>
  </si>
  <si>
    <t>АФК Система БО 001P-14</t>
  </si>
  <si>
    <t>Почта России БО-002P-01</t>
  </si>
  <si>
    <t>Выплата купонов по RU000A1061K1 - ЕвроТранс3</t>
  </si>
  <si>
    <t>ОФЗ-ПД 26247 11/05/39</t>
  </si>
  <si>
    <t>ОФЗ-ПД 26248 16/05/40</t>
  </si>
  <si>
    <t>Выплата дивидендов по RTKM - Публичное акционерное общество Ростелеком</t>
  </si>
  <si>
    <t>Удержание налога по дивидендам по RTKM - Публичное акционерное общество Ростелеком</t>
  </si>
  <si>
    <t>Выплата купонов по RU000A101XN7 - Систем1P14</t>
  </si>
  <si>
    <t>Международная компания ПАО ВК</t>
  </si>
  <si>
    <t>Выплата купонов по RU000A1003A4 - ГТЛК 1P-13</t>
  </si>
  <si>
    <t>Выплата дивидендов по ALRS - АЛРОСА ао</t>
  </si>
  <si>
    <t>Удержание налога по дивидендам по ALRS - АЛРОСА ао</t>
  </si>
  <si>
    <t>Выплата купонов по RU000A106AT1 - ГазпромКP6</t>
  </si>
  <si>
    <t>Выплата купонов по SU26247RMFS5 - ОФЗ 26247</t>
  </si>
  <si>
    <t>Выплата купонов по RU000A105KB0 - ГТЛК 2P-02</t>
  </si>
  <si>
    <t>Выплата купонов по SU26248RMFS3 - ОФЗ 26248</t>
  </si>
  <si>
    <t>Выплата купонов по RU000A104V75 - ПочтаР2P01</t>
  </si>
  <si>
    <t>Выплата купонов по RU000A101SC0 - ГТЛК 1P-18</t>
  </si>
  <si>
    <t>Выплата купонов по RU000A107W06 - Новотр 1Р5</t>
  </si>
  <si>
    <t>ПАО "Банк "Санкт-Петербург" ао</t>
  </si>
  <si>
    <t>ТКС Холдинг МКПАО ао</t>
  </si>
  <si>
    <t>Выплата дивидендов по PLZL - Публичное акционерное общество Полюс</t>
  </si>
  <si>
    <t>Удержание налога по дивидендам по PLZL - Публичное акционерное общество Полюс</t>
  </si>
  <si>
    <t>Восточная Стивидор.Ком 1P-04R</t>
  </si>
  <si>
    <t>РЖД ОАО БО 001Р-14R</t>
  </si>
  <si>
    <t>Газпром нефть БО 003Р-02R</t>
  </si>
  <si>
    <t>РЖД ОАО БО 001Р-13R</t>
  </si>
  <si>
    <t>ПАО НК Роснефть 002P-05</t>
  </si>
  <si>
    <t>ПАО НК Роснефть 002P-08</t>
  </si>
  <si>
    <t>Выплата купонов по RU000A100N12 - Систем1P11</t>
  </si>
  <si>
    <t>Частичное погашение облигаций по RU000A1065B1 - АБЗ-1 1Р04</t>
  </si>
  <si>
    <t>Выплата дивидендов по TATN - Татнфт 3ао</t>
  </si>
  <si>
    <t>Удержание налога по дивидендам по TATN - Татнфт 3ао</t>
  </si>
  <si>
    <t>Полное погашение облигаций по SU29006RMFS2 - ОФЗ 29006</t>
  </si>
  <si>
    <t>Выплата купонов по RU000A106P06 - ВСК 1P-04R</t>
  </si>
  <si>
    <t>ОФЗ-ПД 26246 12/03/36</t>
  </si>
  <si>
    <t>ОФЗ-ПД 26245 26/09/35</t>
  </si>
  <si>
    <t>Выплата купонов по RU000A105VC5 - Полюс Б1P3</t>
  </si>
  <si>
    <t>Выплата купонов по RU000A0ZYVU5 - Роснфт2P5</t>
  </si>
  <si>
    <t>ПАО "НЛМК" ао</t>
  </si>
  <si>
    <t>ВИС ФИНАНС БО-П01</t>
  </si>
  <si>
    <t>АФК "Система" ПАО БО-001P-06</t>
  </si>
  <si>
    <t>РЖД БО 001Р-24R</t>
  </si>
  <si>
    <t>ВЭБ.РФ ПБО-002Р-33</t>
  </si>
  <si>
    <t>Ростелеком ПАО 001P-02R</t>
  </si>
  <si>
    <t>Выплата купонов по RU000A1017J5 - Газпнф3P2R</t>
  </si>
  <si>
    <t>Выплата купонов по RU000A1007Z2 - РЖД 1Р-13R</t>
  </si>
  <si>
    <t>Полное погашение облигаций по RU000A103Q08 - ХэндрснБ01</t>
  </si>
  <si>
    <t>Выплата купонов по SU26246RMFS7 - ОФЗ 26246</t>
  </si>
  <si>
    <t>Выплата купонов по RU000A0JXN21 - СистемБ1P6</t>
  </si>
  <si>
    <t>Т-Технологии МКПАО ао</t>
  </si>
  <si>
    <t>РЖД БО 001P-33R</t>
  </si>
  <si>
    <t>РЖД БО 001P-28R</t>
  </si>
  <si>
    <t>Выплата купонов по SU26245RMFS9 - ОФЗ 26245</t>
  </si>
  <si>
    <t>Выплата купонов по RU000A106ZL5 - РЖД 1Р-28R</t>
  </si>
  <si>
    <t>Выплата купонов по RU000A102952 - ВИС Ф БП01</t>
  </si>
  <si>
    <t>Выплата купонов по RU000A0JXPN8 - Ростел1P2R</t>
  </si>
  <si>
    <t>ГК Самолет БО-П16</t>
  </si>
  <si>
    <t>Балтийский лизинг ООО БО-П15</t>
  </si>
  <si>
    <t>Селигдар 001Р-03</t>
  </si>
  <si>
    <t>АФК Система БО 001P-16</t>
  </si>
  <si>
    <t>Удержание налога по дивидендам по PLZL - Полюс</t>
  </si>
  <si>
    <t>Выплата дивидендов по PLZL - Полюс</t>
  </si>
  <si>
    <t>Полное погашение облигаций по RU000A100D89 - Беларусь07</t>
  </si>
  <si>
    <t>Выплата купонов по RU000A104SX0 - РЖД 1Р-24R</t>
  </si>
  <si>
    <t>Выплата купонов по RU000A109PF2 - РЖД 1Р-33R</t>
  </si>
  <si>
    <t>Выплата дивидендов по BSPB - БСП ао</t>
  </si>
  <si>
    <t>Удержание налога по дивидендам по BSPB - БСП ао</t>
  </si>
  <si>
    <t>Выплата купонов по RU000A1008D7 - РЖД 1Р-14R</t>
  </si>
  <si>
    <t>Выплата купонов по RU000A10B933 - Селигдар3Р</t>
  </si>
  <si>
    <t>Полное погашение облигаций по RU000A1043B8 - ТАЛАНФБ1P3</t>
  </si>
  <si>
    <t>Выплата дивидендов по T - Т-Техно ао</t>
  </si>
  <si>
    <t>Удержание налога по дивидендам по T - Т-Техно ао</t>
  </si>
  <si>
    <t>Выплата купонов по RU000A10BFX7 - СамолетP16</t>
  </si>
  <si>
    <t>Выплата купонов по RU000A10ATW2 - БалтЛизП15</t>
  </si>
  <si>
    <t>Выплата купонов по RU000A102FS1 - Систем1P16</t>
  </si>
  <si>
    <t>Атомэнергопром АО 001Р-05</t>
  </si>
  <si>
    <t>Газпром нефть БО 003P-15R</t>
  </si>
  <si>
    <t>Полное погашение облигаций по RU000A103828 - ЭТС 1Р04</t>
  </si>
  <si>
    <t>Полное погашение облигаций по RU000A0JVM81 - Оренб35003</t>
  </si>
  <si>
    <t>Выплата купонов по RU000A10BK17 - Газпн3P15R</t>
  </si>
  <si>
    <t>Выплата купонов по RU000A100KY3 - Роснфт2P8</t>
  </si>
  <si>
    <t>Полное погашение облигаций по SU26234RMFS3 - ОФЗ 26234</t>
  </si>
  <si>
    <t>Выплата купонов по RU000A10BFG2 - Атомэнпр05</t>
  </si>
  <si>
    <t>Выплата купонов по RU000A104Z48 - ВЭБ2P-33</t>
  </si>
  <si>
    <t>Выплата дивидендов по VTBR - ВТБ ао</t>
  </si>
  <si>
    <t>Удержание налога по дивидендам по VTBR - ВТБ ао</t>
  </si>
  <si>
    <t>МКПАО ЯНДЕКС</t>
  </si>
  <si>
    <t>Удержание налога по дивидендам по SNGS - публичное акционерное общество Сургутнефтегаз</t>
  </si>
  <si>
    <t>Выплата дивидендов по SNGS - публичное акционерное общество Сургутнефтегаз</t>
  </si>
  <si>
    <t>ОФЗ-ПД 26250 10/06/37</t>
  </si>
  <si>
    <t>Выплата дивидендов по YDEX - ЯНДЕКС</t>
  </si>
  <si>
    <t>Удержание налога по дивидендам по YDEX - ЯНДЕКС</t>
  </si>
  <si>
    <t>ОФЗ-ПД 26249 16/06/32</t>
  </si>
  <si>
    <t>Полное погашение облигаций по RU000A102CX8 - Ульоб34003</t>
  </si>
  <si>
    <t>Полное погашение облигаций по RU000A102G50 - ВСК 1P-01R</t>
  </si>
  <si>
    <t>Полное погашение облигаций по RU000A102H91 - Автодор3Р1</t>
  </si>
  <si>
    <t>Выплата купонов по SU26250RMFS9 - ОФЗ 26250</t>
  </si>
  <si>
    <t>Выплата купонов по SU26249RMFS1 - ОФЗ 26249</t>
  </si>
  <si>
    <t>ОФЗ-ПД 26252 12/10/2033</t>
  </si>
  <si>
    <t>ОФЗ-ПД 26253 06/10/2038</t>
  </si>
  <si>
    <t>ОФЗ-ПД 26254 03/10/2040</t>
  </si>
  <si>
    <t>Частичное погашение облигаций по RU000A105CM4 - Новотр 1Р3</t>
  </si>
  <si>
    <t>АО Авто Финанс Банк БО-001Р-16</t>
  </si>
  <si>
    <t>ПГК 003Р-01</t>
  </si>
  <si>
    <t>ХК Новотранс 002P-01</t>
  </si>
  <si>
    <t>АО Авто Финанс Банк БО-001Р-15</t>
  </si>
  <si>
    <t>АО ПКТ 002P-01</t>
  </si>
  <si>
    <t>Группа Позитив 001Р-03</t>
  </si>
  <si>
    <t>ЕвразХолдинг Финанс 003P-04</t>
  </si>
  <si>
    <t>РЖД БО 001P-45R</t>
  </si>
  <si>
    <t>ФПК 002Р-01</t>
  </si>
  <si>
    <t>Выплата купонов по RU000A10CDZ5 - РЖД 1Р-45R</t>
  </si>
  <si>
    <t>Полное погашение облигаций по RU000A105V90 - ЕАБР3P-006</t>
  </si>
  <si>
    <t>Выплата купонов по RU000A10DJH8 - ПКТ 2P1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</si>
  <si>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</si>
  <si>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</si>
  <si>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</si>
  <si>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</si>
  <si>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</si>
  <si>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</si>
  <si>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</si>
  <si>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</si>
  <si>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</si>
  <si>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</si>
  <si>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</si>
  <si>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IMOEX Всепогодный</t>
  </si>
  <si>
    <t>РусГидро</t>
  </si>
  <si>
    <t>+МосЭнерго</t>
  </si>
  <si>
    <t>Совкомфлот</t>
  </si>
  <si>
    <t>Купон</t>
  </si>
  <si>
    <t>МФ МарЭл17</t>
  </si>
  <si>
    <t>Оренб35003</t>
  </si>
  <si>
    <t>ОФЗ 24021</t>
  </si>
  <si>
    <t>Беларусь07</t>
  </si>
  <si>
    <t>ОФЗ 29006</t>
  </si>
  <si>
    <t>ТАЛАНФБ1P3</t>
  </si>
  <si>
    <t>ВСК 1P-01R</t>
  </si>
  <si>
    <t>Автодор3Р1</t>
  </si>
  <si>
    <t>ЕАБР3P-006</t>
  </si>
  <si>
    <t>ХэндрснБ01</t>
  </si>
  <si>
    <t>ОФЗ 26234</t>
  </si>
  <si>
    <t>iПМЕДДМ1Р2</t>
  </si>
  <si>
    <t>ЭТС 1Р04</t>
  </si>
  <si>
    <t>Ульоб34003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</si>
  <si>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</si>
  <si>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</si>
  <si>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</si>
  <si>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</si>
  <si>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</si>
  <si>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</si>
  <si>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</si>
  <si>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</si>
  <si>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</si>
  <si>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</si>
  <si>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</si>
  <si>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</si>
  <si>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</si>
  <si>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</si>
  <si>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</si>
  <si>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</si>
  <si>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GLTR-гдр</t>
  </si>
  <si>
    <t>FIXP-гдр</t>
  </si>
  <si>
    <t>Россети</t>
  </si>
  <si>
    <t>Сегежа</t>
  </si>
  <si>
    <t>Юнипро ао</t>
  </si>
  <si>
    <t>МКПАО "ВК"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</si>
</sst>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270</v>
      </c>
      <c r="F2" s="6" t="n">
        <v>316.3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0.2651</v>
      </c>
      <c r="L2" s="6" t="n">
        <v>260.39</v>
      </c>
      <c r="M2" s="17" t="n">
        <v>13.56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4808.5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0.2046</v>
      </c>
      <c r="L3" s="6" t="n">
        <v>4192.96</v>
      </c>
      <c r="M3" s="17" t="n">
        <v>4.58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2499.6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0.48</v>
      </c>
      <c r="L4" s="6" t="n">
        <v>921.51</v>
      </c>
      <c r="M4" s="17" t="n">
        <v>3.97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</v>
      </c>
      <c r="F5" s="6" t="n">
        <v>3507.4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0.1951</v>
      </c>
      <c r="L5" s="6" t="n">
        <v>3112.83</v>
      </c>
      <c r="M5" s="17" t="n">
        <v>3.9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35</v>
      </c>
      <c r="F6" s="6" t="n">
        <v>315.81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0.3696</v>
      </c>
      <c r="L6" s="6" t="n">
        <v>219.43</v>
      </c>
      <c r="M6" s="17" t="n">
        <v>1.75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60</v>
      </c>
      <c r="F7" s="6" t="n">
        <v>126.75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-0.0763</v>
      </c>
      <c r="L7" s="6" t="n">
        <v>154.98</v>
      </c>
      <c r="M7" s="17" t="n">
        <v>1.21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</v>
      </c>
      <c r="F8" s="6" t="n">
        <v>183.39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0.1102</v>
      </c>
      <c r="L8" s="6" t="n">
        <v>185.13</v>
      </c>
      <c r="M8" s="17" t="n">
        <v>0.87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542.2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0.1252</v>
      </c>
      <c r="L9" s="6" t="n">
        <v>557.39</v>
      </c>
      <c r="M9" s="17" t="n">
        <v>0.86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1400</v>
      </c>
      <c r="F10" s="6" t="n">
        <v>3.322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0.0089</v>
      </c>
      <c r="L10" s="6" t="n">
        <v>3.92</v>
      </c>
      <c r="M10" s="17" t="n">
        <v>0.74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233.15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0.1279</v>
      </c>
      <c r="L11" s="6" t="n">
        <v>229.94</v>
      </c>
      <c r="M11" s="17" t="n">
        <v>0.74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458.3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-0.2513</v>
      </c>
      <c r="L12" s="6" t="n">
        <v>796.06</v>
      </c>
      <c r="M12" s="17" t="n">
        <v>0.73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</v>
      </c>
      <c r="F13" s="6" t="n">
        <v>87.29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0.0863</v>
      </c>
      <c r="L13" s="6" t="n">
        <v>98.15</v>
      </c>
      <c r="M13" s="17" t="n">
        <v>0.69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100</v>
      </c>
      <c r="F14" s="6" t="n">
        <v>42.04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0.3358</v>
      </c>
      <c r="L14" s="6" t="n">
        <v>33.42</v>
      </c>
      <c r="M14" s="17" t="n">
        <v>0.67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</v>
      </c>
      <c r="F15" s="6" t="n">
        <v>340.06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0.2283</v>
      </c>
      <c r="L15" s="6" t="n">
        <v>307.03</v>
      </c>
      <c r="M15" s="17" t="n">
        <v>0.54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60</v>
      </c>
      <c r="F16" s="6" t="n">
        <v>55.76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0.2162</v>
      </c>
      <c r="L16" s="6" t="n">
        <v>41.19</v>
      </c>
      <c r="M16" s="17" t="n">
        <v>0.53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50</v>
      </c>
      <c r="F17" s="6" t="n">
        <v>64.08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0.0329</v>
      </c>
      <c r="L17" s="6" t="n">
        <v>69.38</v>
      </c>
      <c r="M17" s="17" t="n">
        <v>0.51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20</v>
      </c>
      <c r="F18" s="6" t="n">
        <v>156.5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0.1179</v>
      </c>
      <c r="L18" s="6" t="n">
        <v>129.89</v>
      </c>
      <c r="M18" s="17" t="n">
        <v>0.5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200</v>
      </c>
      <c r="F19" s="6" t="n">
        <v>13.944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0.0101</v>
      </c>
      <c r="L19" s="6" t="n">
        <v>14.11</v>
      </c>
      <c r="M19" s="17" t="n">
        <v>0.44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400</v>
      </c>
      <c r="F20" s="6" t="n">
        <v>6.097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-0.0459</v>
      </c>
      <c r="L20" s="6" t="n">
        <v>6.79</v>
      </c>
      <c r="M20" s="17" t="n">
        <v>0.39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100</v>
      </c>
      <c r="F21" s="6" t="n">
        <v>21.65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0.0293</v>
      </c>
      <c r="L21" s="6" t="n">
        <v>22.33</v>
      </c>
      <c r="M21" s="17" t="n">
        <v>0.34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1188.4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0.1215</v>
      </c>
      <c r="L22" s="6" t="n">
        <v>1031.08</v>
      </c>
      <c r="M22" s="17" t="n">
        <v>0.19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10</v>
      </c>
      <c r="F23" s="6" t="n">
        <v>109.96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-0.2928</v>
      </c>
      <c r="L23" s="6" t="n">
        <v>155.41</v>
      </c>
      <c r="M23" s="17" t="n">
        <v>0.17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30</v>
      </c>
      <c r="F24" s="6" t="n">
        <v>31.745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0.0248</v>
      </c>
      <c r="L24" s="6" t="n">
        <v>33.98</v>
      </c>
      <c r="M24" s="17" t="n">
        <v>0.15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20</v>
      </c>
      <c r="F25" s="6" t="n">
        <v>37.965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0.0306</v>
      </c>
      <c r="L25" s="6" t="n">
        <v>36.2</v>
      </c>
      <c r="M25" s="17" t="n">
        <v>0.12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10</v>
      </c>
      <c r="F26" s="6" t="n">
        <v>39.6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-0.2774</v>
      </c>
      <c r="L26" s="6" t="n">
        <v>70.72</v>
      </c>
      <c r="M26" s="17" t="n">
        <v>0.06</v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83</v>
      </c>
      <c r="I27" s="4"/>
      <c r="J27" s="5" t="s">
        <f>=SUM(J2:J26)</f>
      </c>
      <c r="K27" s="4"/>
      <c r="L27" s="4"/>
      <c r="M27" s="10" t="s">
        <f>=J27/J117</f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84</v>
      </c>
      <c r="B28" s="16" t="s">
        <v>85</v>
      </c>
      <c r="C28" s="16" t="s">
        <v>86</v>
      </c>
      <c r="D28" s="16" t="s">
        <v>19</v>
      </c>
      <c r="E28" s="7" t="n">
        <v>34</v>
      </c>
      <c r="F28" s="6" t="n">
        <v>59.6</v>
      </c>
      <c r="G28" s="17" t="n">
        <v>1000</v>
      </c>
      <c r="H28" s="6" t="n">
        <v>4.85</v>
      </c>
      <c r="I28" s="16" t="s">
        <v>87</v>
      </c>
      <c r="J28" s="6" t="s">
        <f>=E28*((F28/100*G28)*Портфель!$Q$13 + H28*Портфель!$Q$13) </f>
      </c>
      <c r="K28" s="9" t="n">
        <v>0.0529</v>
      </c>
      <c r="L28" s="6" t="n">
        <v>668.61</v>
      </c>
      <c r="M28" s="17" t="n">
        <v>3.24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88</v>
      </c>
      <c r="B29" s="16" t="s">
        <v>85</v>
      </c>
      <c r="C29" s="16" t="s">
        <v>89</v>
      </c>
      <c r="D29" s="16" t="s">
        <v>19</v>
      </c>
      <c r="E29" s="7" t="n">
        <v>14</v>
      </c>
      <c r="F29" s="6" t="n">
        <v>105.938</v>
      </c>
      <c r="G29" s="17" t="n">
        <v>1000</v>
      </c>
      <c r="H29" s="6" t="n">
        <v>37.23</v>
      </c>
      <c r="I29" s="16" t="s">
        <v>90</v>
      </c>
      <c r="J29" s="6" t="s">
        <f>=E29*((F29/100*G29)*Портфель!$Q$13 + H29*Портфель!$Q$13) </f>
      </c>
      <c r="K29" s="9" t="n">
        <v>0.1719</v>
      </c>
      <c r="L29" s="6" t="n">
        <v>1081.19</v>
      </c>
      <c r="M29" s="17" t="n">
        <v>2.44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91</v>
      </c>
      <c r="B30" s="16" t="s">
        <v>85</v>
      </c>
      <c r="C30" s="16" t="s">
        <v>92</v>
      </c>
      <c r="D30" s="16" t="s">
        <v>19</v>
      </c>
      <c r="E30" s="7" t="n">
        <v>19</v>
      </c>
      <c r="F30" s="6" t="n">
        <v>75.295</v>
      </c>
      <c r="G30" s="17" t="n">
        <v>1000</v>
      </c>
      <c r="H30" s="6" t="n">
        <v>22.82</v>
      </c>
      <c r="I30" s="16" t="s">
        <v>93</v>
      </c>
      <c r="J30" s="6" t="s">
        <f>=E30*((F30/100*G30)*Портфель!$Q$13 + H30*Портфель!$Q$13) </f>
      </c>
      <c r="K30" s="9" t="n">
        <v>0.0874</v>
      </c>
      <c r="L30" s="6" t="n">
        <v>809.96</v>
      </c>
      <c r="M30" s="17" t="n">
        <v>2.34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94</v>
      </c>
      <c r="B31" s="16" t="s">
        <v>85</v>
      </c>
      <c r="C31" s="16" t="s">
        <v>95</v>
      </c>
      <c r="D31" s="16" t="s">
        <v>19</v>
      </c>
      <c r="E31" s="7" t="n">
        <v>23</v>
      </c>
      <c r="F31" s="6" t="n">
        <v>60.009</v>
      </c>
      <c r="G31" s="17" t="n">
        <v>1000</v>
      </c>
      <c r="H31" s="6" t="n">
        <v>16.53</v>
      </c>
      <c r="I31" s="16" t="s">
        <v>96</v>
      </c>
      <c r="J31" s="6" t="s">
        <f>=E31*((F31/100*G31)*Портфель!$Q$13 + H31*Портфель!$Q$13) </f>
      </c>
      <c r="K31" s="9" t="n">
        <v>0.0729</v>
      </c>
      <c r="L31" s="6" t="n">
        <v>667.14</v>
      </c>
      <c r="M31" s="17" t="n">
        <v>2.25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97</v>
      </c>
      <c r="B32" s="16" t="s">
        <v>85</v>
      </c>
      <c r="C32" s="16" t="s">
        <v>98</v>
      </c>
      <c r="D32" s="16" t="s">
        <v>19</v>
      </c>
      <c r="E32" s="7" t="n">
        <v>14</v>
      </c>
      <c r="F32" s="6" t="n">
        <v>88.45</v>
      </c>
      <c r="G32" s="17" t="n">
        <v>1000</v>
      </c>
      <c r="H32" s="6" t="n">
        <v>50.96</v>
      </c>
      <c r="I32" s="16" t="s">
        <v>99</v>
      </c>
      <c r="J32" s="6" t="s">
        <f>=E32*((F32/100*G32)*Портфель!$Q$13 + H32*Портфель!$Q$13) </f>
      </c>
      <c r="K32" s="9" t="n">
        <v>0.1989</v>
      </c>
      <c r="L32" s="6" t="n">
        <v>893.51</v>
      </c>
      <c r="M32" s="17" t="n">
        <v>2.08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100</v>
      </c>
      <c r="B33" s="16" t="s">
        <v>85</v>
      </c>
      <c r="C33" s="16" t="s">
        <v>101</v>
      </c>
      <c r="D33" s="16" t="s">
        <v>19</v>
      </c>
      <c r="E33" s="7" t="n">
        <v>14</v>
      </c>
      <c r="F33" s="6" t="n">
        <v>89</v>
      </c>
      <c r="G33" s="17" t="n">
        <v>1000</v>
      </c>
      <c r="H33" s="6" t="n">
        <v>28.53</v>
      </c>
      <c r="I33" s="16" t="s">
        <v>102</v>
      </c>
      <c r="J33" s="6" t="s">
        <f>=E33*((F33/100*G33)*Портфель!$Q$13 + H33*Портфель!$Q$13) </f>
      </c>
      <c r="K33" s="9" t="n">
        <v>0.2152</v>
      </c>
      <c r="L33" s="6" t="n">
        <v>877.97</v>
      </c>
      <c r="M33" s="17" t="n">
        <v>2.04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103</v>
      </c>
      <c r="B34" s="16" t="s">
        <v>85</v>
      </c>
      <c r="C34" s="16" t="s">
        <v>104</v>
      </c>
      <c r="D34" s="16" t="s">
        <v>19</v>
      </c>
      <c r="E34" s="7" t="n">
        <v>17</v>
      </c>
      <c r="F34" s="6" t="n">
        <v>71.993</v>
      </c>
      <c r="G34" s="17" t="n">
        <v>1000</v>
      </c>
      <c r="H34" s="6" t="n">
        <v>26.19</v>
      </c>
      <c r="I34" s="16" t="s">
        <v>105</v>
      </c>
      <c r="J34" s="6" t="s">
        <f>=E34*((F34/100*G34)*Портфель!$Q$13 + H34*Портфель!$Q$13) </f>
      </c>
      <c r="K34" s="9" t="n">
        <v>0.0963</v>
      </c>
      <c r="L34" s="6" t="n">
        <v>713.2</v>
      </c>
      <c r="M34" s="17" t="n">
        <v>2.01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106</v>
      </c>
      <c r="B35" s="16" t="s">
        <v>85</v>
      </c>
      <c r="C35" s="16" t="s">
        <v>107</v>
      </c>
      <c r="D35" s="16" t="s">
        <v>19</v>
      </c>
      <c r="E35" s="7" t="n">
        <v>18</v>
      </c>
      <c r="F35" s="6" t="n">
        <v>64.104</v>
      </c>
      <c r="G35" s="17" t="n">
        <v>1000</v>
      </c>
      <c r="H35" s="6" t="n">
        <v>31.22</v>
      </c>
      <c r="I35" s="16" t="s">
        <v>108</v>
      </c>
      <c r="J35" s="6" t="s">
        <f>=E35*((F35/100*G35)*Портфель!$Q$13 + H35*Портфель!$Q$13) </f>
      </c>
      <c r="K35" s="9" t="n">
        <v>0.0712</v>
      </c>
      <c r="L35" s="6" t="n">
        <v>721.18</v>
      </c>
      <c r="M35" s="17" t="n">
        <v>1.92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109</v>
      </c>
      <c r="B36" s="16" t="s">
        <v>85</v>
      </c>
      <c r="C36" s="16" t="s">
        <v>110</v>
      </c>
      <c r="D36" s="16" t="s">
        <v>19</v>
      </c>
      <c r="E36" s="7" t="n">
        <v>11</v>
      </c>
      <c r="F36" s="6" t="n">
        <v>104.1</v>
      </c>
      <c r="G36" s="17" t="n">
        <v>1000</v>
      </c>
      <c r="H36" s="6" t="n">
        <v>57.76</v>
      </c>
      <c r="I36" s="16" t="s">
        <v>111</v>
      </c>
      <c r="J36" s="6" t="s">
        <f>=E36*((F36/100*G36)*Портфель!$Q$13 + H36*Портфель!$Q$13) </f>
      </c>
      <c r="K36" s="9" t="n">
        <v>0.1671</v>
      </c>
      <c r="L36" s="6" t="n">
        <v>1081.58</v>
      </c>
      <c r="M36" s="17" t="n">
        <v>1.92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112</v>
      </c>
      <c r="B37" s="16" t="s">
        <v>85</v>
      </c>
      <c r="C37" s="16" t="s">
        <v>113</v>
      </c>
      <c r="D37" s="16" t="s">
        <v>19</v>
      </c>
      <c r="E37" s="7" t="n">
        <v>19</v>
      </c>
      <c r="F37" s="6" t="n">
        <v>62.958</v>
      </c>
      <c r="G37" s="17" t="n">
        <v>1000</v>
      </c>
      <c r="H37" s="6" t="n">
        <v>2.88</v>
      </c>
      <c r="I37" s="16" t="s">
        <v>114</v>
      </c>
      <c r="J37" s="6" t="s">
        <f>=E37*((F37/100*G37)*Портфель!$Q$13 + H37*Портфель!$Q$13) </f>
      </c>
      <c r="K37" s="9" t="n">
        <v>0.0659</v>
      </c>
      <c r="L37" s="6" t="n">
        <v>705.6</v>
      </c>
      <c r="M37" s="17" t="n">
        <v>1.91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115</v>
      </c>
      <c r="B38" s="16" t="s">
        <v>85</v>
      </c>
      <c r="C38" s="16" t="s">
        <v>116</v>
      </c>
      <c r="D38" s="16" t="s">
        <v>19</v>
      </c>
      <c r="E38" s="7" t="n">
        <v>13</v>
      </c>
      <c r="F38" s="6" t="n">
        <v>88.931</v>
      </c>
      <c r="G38" s="17" t="n">
        <v>1000</v>
      </c>
      <c r="H38" s="6" t="n">
        <v>30.88</v>
      </c>
      <c r="I38" s="16" t="s">
        <v>117</v>
      </c>
      <c r="J38" s="6" t="s">
        <f>=E38*((F38/100*G38)*Портфель!$Q$13 + H38*Портфель!$Q$13) </f>
      </c>
      <c r="K38" s="9" t="n">
        <v>0.2114</v>
      </c>
      <c r="L38" s="6" t="n">
        <v>886.29</v>
      </c>
      <c r="M38" s="17" t="n">
        <v>1.9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118</v>
      </c>
      <c r="B39" s="16" t="s">
        <v>85</v>
      </c>
      <c r="C39" s="16" t="s">
        <v>119</v>
      </c>
      <c r="D39" s="16" t="s">
        <v>19</v>
      </c>
      <c r="E39" s="7" t="n">
        <v>14</v>
      </c>
      <c r="F39" s="6" t="n">
        <v>80.277</v>
      </c>
      <c r="G39" s="17" t="n">
        <v>1000</v>
      </c>
      <c r="H39" s="6" t="n">
        <v>23.95</v>
      </c>
      <c r="I39" s="16" t="s">
        <v>120</v>
      </c>
      <c r="J39" s="6" t="s">
        <f>=E39*((F39/100*G39)*Портфель!$Q$13 + H39*Портфель!$Q$13) </f>
      </c>
      <c r="K39" s="9" t="n">
        <v>0.1244</v>
      </c>
      <c r="L39" s="6" t="n">
        <v>823.22</v>
      </c>
      <c r="M39" s="17" t="n">
        <v>1.84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121</v>
      </c>
      <c r="B40" s="16" t="s">
        <v>85</v>
      </c>
      <c r="C40" s="16" t="s">
        <v>122</v>
      </c>
      <c r="D40" s="16" t="s">
        <v>19</v>
      </c>
      <c r="E40" s="7" t="n">
        <v>12</v>
      </c>
      <c r="F40" s="6" t="n">
        <v>88.979</v>
      </c>
      <c r="G40" s="17" t="n">
        <v>1000</v>
      </c>
      <c r="H40" s="6" t="n">
        <v>46.36</v>
      </c>
      <c r="I40" s="16" t="s">
        <v>123</v>
      </c>
      <c r="J40" s="6" t="s">
        <f>=E40*((F40/100*G40)*Портфель!$Q$13 + H40*Портфель!$Q$13) </f>
      </c>
      <c r="K40" s="9" t="n">
        <v>0.1816</v>
      </c>
      <c r="L40" s="6" t="n">
        <v>910.01</v>
      </c>
      <c r="M40" s="17" t="n">
        <v>1.78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124</v>
      </c>
      <c r="B41" s="16" t="s">
        <v>85</v>
      </c>
      <c r="C41" s="16" t="s">
        <v>125</v>
      </c>
      <c r="D41" s="16" t="s">
        <v>19</v>
      </c>
      <c r="E41" s="7" t="n">
        <v>13</v>
      </c>
      <c r="F41" s="6" t="n">
        <v>81.155</v>
      </c>
      <c r="G41" s="17" t="n">
        <v>1000</v>
      </c>
      <c r="H41" s="6" t="n">
        <v>28.09</v>
      </c>
      <c r="I41" s="16" t="s">
        <v>126</v>
      </c>
      <c r="J41" s="6" t="s">
        <f>=E41*((F41/100*G41)*Портфель!$Q$13 + H41*Портфель!$Q$13) </f>
      </c>
      <c r="K41" s="9" t="n">
        <v>0.128</v>
      </c>
      <c r="L41" s="6" t="n">
        <v>790.44</v>
      </c>
      <c r="M41" s="17" t="n">
        <v>1.73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127</v>
      </c>
      <c r="B42" s="16" t="s">
        <v>85</v>
      </c>
      <c r="C42" s="16" t="s">
        <v>128</v>
      </c>
      <c r="D42" s="16" t="s">
        <v>19</v>
      </c>
      <c r="E42" s="7" t="n">
        <v>14</v>
      </c>
      <c r="F42" s="6" t="n">
        <v>71.859</v>
      </c>
      <c r="G42" s="17" t="n">
        <v>1000</v>
      </c>
      <c r="H42" s="6" t="n">
        <v>31.22</v>
      </c>
      <c r="I42" s="16" t="s">
        <v>129</v>
      </c>
      <c r="J42" s="6" t="s">
        <f>=E42*((F42/100*G42)*Портфель!$Q$13 + H42*Портфель!$Q$13) </f>
      </c>
      <c r="K42" s="9" t="n">
        <v>0.1171</v>
      </c>
      <c r="L42" s="6" t="n">
        <v>721.55</v>
      </c>
      <c r="M42" s="17" t="n">
        <v>1.67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130</v>
      </c>
      <c r="B43" s="16" t="s">
        <v>85</v>
      </c>
      <c r="C43" s="16" t="s">
        <v>131</v>
      </c>
      <c r="D43" s="16" t="s">
        <v>19</v>
      </c>
      <c r="E43" s="7" t="n">
        <v>11</v>
      </c>
      <c r="F43" s="6" t="n">
        <v>86.655</v>
      </c>
      <c r="G43" s="17" t="n">
        <v>1000</v>
      </c>
      <c r="H43" s="6" t="n">
        <v>47.78</v>
      </c>
      <c r="I43" s="16" t="s">
        <v>132</v>
      </c>
      <c r="J43" s="6" t="s">
        <f>=E43*((F43/100*G43)*Портфель!$Q$13 + H43*Портфель!$Q$13) </f>
      </c>
      <c r="K43" s="9" t="n">
        <v>0.1022</v>
      </c>
      <c r="L43" s="6" t="n">
        <v>923.32</v>
      </c>
      <c r="M43" s="17" t="n">
        <v>1.6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133</v>
      </c>
      <c r="B44" s="16" t="s">
        <v>85</v>
      </c>
      <c r="C44" s="16" t="s">
        <v>134</v>
      </c>
      <c r="D44" s="16" t="s">
        <v>19</v>
      </c>
      <c r="E44" s="7" t="n">
        <v>12</v>
      </c>
      <c r="F44" s="6" t="n">
        <v>79.027</v>
      </c>
      <c r="G44" s="17" t="n">
        <v>1000</v>
      </c>
      <c r="H44" s="6" t="n">
        <v>36.09</v>
      </c>
      <c r="I44" s="16" t="s">
        <v>135</v>
      </c>
      <c r="J44" s="6" t="s">
        <f>=E44*((F44/100*G44)*Портфель!$Q$13 + H44*Портфель!$Q$13) </f>
      </c>
      <c r="K44" s="9" t="n">
        <v>0.1645</v>
      </c>
      <c r="L44" s="6" t="n">
        <v>765.13</v>
      </c>
      <c r="M44" s="17" t="n">
        <v>1.57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136</v>
      </c>
      <c r="B45" s="16" t="s">
        <v>85</v>
      </c>
      <c r="C45" s="16" t="s">
        <v>137</v>
      </c>
      <c r="D45" s="16" t="s">
        <v>19</v>
      </c>
      <c r="E45" s="7" t="n">
        <v>14</v>
      </c>
      <c r="F45" s="6" t="n">
        <v>67.079</v>
      </c>
      <c r="G45" s="17" t="n">
        <v>1000</v>
      </c>
      <c r="H45" s="6" t="n">
        <v>19.66</v>
      </c>
      <c r="I45" s="16" t="s">
        <v>138</v>
      </c>
      <c r="J45" s="6" t="s">
        <f>=E45*((F45/100*G45)*Портфель!$Q$13 + H45*Портфель!$Q$13) </f>
      </c>
      <c r="K45" s="9" t="n">
        <v>0.0614</v>
      </c>
      <c r="L45" s="6" t="n">
        <v>745.43</v>
      </c>
      <c r="M45" s="17" t="n">
        <v>1.53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139</v>
      </c>
      <c r="B46" s="16" t="s">
        <v>85</v>
      </c>
      <c r="C46" s="16" t="s">
        <v>140</v>
      </c>
      <c r="D46" s="16" t="s">
        <v>19</v>
      </c>
      <c r="E46" s="7" t="n">
        <v>6</v>
      </c>
      <c r="F46" s="6" t="n">
        <v>73.248</v>
      </c>
      <c r="G46" s="17" t="n">
        <v>1242.73</v>
      </c>
      <c r="H46" s="6" t="n">
        <v>8.43</v>
      </c>
      <c r="I46" s="16" t="s">
        <v>141</v>
      </c>
      <c r="J46" s="6" t="s">
        <f>=E46*((F46/100*G46)*Портфель!$Q$13 + H46*Портфель!$Q$13) </f>
      </c>
      <c r="K46" s="9" t="n">
        <v>-0.001</v>
      </c>
      <c r="L46" s="6" t="n">
        <v>994.22</v>
      </c>
      <c r="M46" s="17" t="n">
        <v>0.88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142</v>
      </c>
      <c r="B47" s="16" t="s">
        <v>85</v>
      </c>
      <c r="C47" s="16" t="s">
        <v>143</v>
      </c>
      <c r="D47" s="16" t="s">
        <v>19</v>
      </c>
      <c r="E47" s="7" t="n">
        <v>5</v>
      </c>
      <c r="F47" s="6" t="n">
        <v>103.463</v>
      </c>
      <c r="G47" s="17" t="n">
        <v>1000</v>
      </c>
      <c r="H47" s="6" t="n">
        <v>79.73</v>
      </c>
      <c r="I47" s="16" t="s">
        <v>144</v>
      </c>
      <c r="J47" s="6" t="s">
        <f>=E47*((F47/100*G47)*Портфель!$Q$13 + H47*Портфель!$Q$13) </f>
      </c>
      <c r="K47" s="9" t="n">
        <v>0.1617</v>
      </c>
      <c r="L47" s="6" t="n">
        <v>1078.46</v>
      </c>
      <c r="M47" s="17" t="n">
        <v>0.88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145</v>
      </c>
      <c r="B48" s="16" t="s">
        <v>85</v>
      </c>
      <c r="C48" s="16" t="s">
        <v>146</v>
      </c>
      <c r="D48" s="16" t="s">
        <v>19</v>
      </c>
      <c r="E48" s="7" t="n">
        <v>6</v>
      </c>
      <c r="F48" s="6" t="n">
        <v>87.646</v>
      </c>
      <c r="G48" s="17" t="n">
        <v>1000</v>
      </c>
      <c r="H48" s="6" t="n">
        <v>21.04</v>
      </c>
      <c r="I48" s="16" t="s">
        <v>147</v>
      </c>
      <c r="J48" s="6" t="s">
        <f>=E48*((F48/100*G48)*Портфель!$Q$13 + H48*Портфель!$Q$13) </f>
      </c>
      <c r="K48" s="9" t="n">
        <v>0.0578</v>
      </c>
      <c r="L48" s="6" t="n">
        <v>896.66</v>
      </c>
      <c r="M48" s="17" t="n">
        <v>0.85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148</v>
      </c>
      <c r="B49" s="16" t="s">
        <v>85</v>
      </c>
      <c r="C49" s="16" t="s">
        <v>149</v>
      </c>
      <c r="D49" s="16" t="s">
        <v>19</v>
      </c>
      <c r="E49" s="7" t="n">
        <v>6</v>
      </c>
      <c r="F49" s="6" t="n">
        <v>87.201</v>
      </c>
      <c r="G49" s="17" t="n">
        <v>1000</v>
      </c>
      <c r="H49" s="6" t="n">
        <v>19.29</v>
      </c>
      <c r="I49" s="16" t="s">
        <v>150</v>
      </c>
      <c r="J49" s="6" t="s">
        <f>=E49*((F49/100*G49)*Портфель!$Q$13 + H49*Портфель!$Q$13) </f>
      </c>
      <c r="K49" s="9" t="n">
        <v>0.0536</v>
      </c>
      <c r="L49" s="6" t="n">
        <v>877.39</v>
      </c>
      <c r="M49" s="17" t="n">
        <v>0.85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151</v>
      </c>
      <c r="B50" s="16" t="s">
        <v>85</v>
      </c>
      <c r="C50" s="16" t="s">
        <v>152</v>
      </c>
      <c r="D50" s="16" t="s">
        <v>19</v>
      </c>
      <c r="E50" s="7" t="n">
        <v>5</v>
      </c>
      <c r="F50" s="6" t="n">
        <v>93.2</v>
      </c>
      <c r="G50" s="17" t="n">
        <v>1000</v>
      </c>
      <c r="H50" s="6" t="n">
        <v>8.88</v>
      </c>
      <c r="I50" s="16" t="s">
        <v>153</v>
      </c>
      <c r="J50" s="6" t="s">
        <f>=E50*((F50/100*G50)*Портфель!$Q$13 + H50*Портфель!$Q$13) </f>
      </c>
      <c r="K50" s="9" t="n">
        <v>0.3192</v>
      </c>
      <c r="L50" s="6" t="n">
        <v>868.89</v>
      </c>
      <c r="M50" s="17" t="n">
        <v>0.75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154</v>
      </c>
      <c r="B51" s="16" t="s">
        <v>85</v>
      </c>
      <c r="C51" s="16" t="s">
        <v>155</v>
      </c>
      <c r="D51" s="16" t="s">
        <v>19</v>
      </c>
      <c r="E51" s="7" t="n">
        <v>6</v>
      </c>
      <c r="F51" s="6" t="n">
        <v>74.25</v>
      </c>
      <c r="G51" s="17" t="n">
        <v>1000</v>
      </c>
      <c r="H51" s="6" t="n">
        <v>5.48</v>
      </c>
      <c r="I51" s="16" t="s">
        <v>156</v>
      </c>
      <c r="J51" s="6" t="s">
        <f>=E51*((F51/100*G51)*Портфель!$Q$13 + H51*Портфель!$Q$13) </f>
      </c>
      <c r="K51" s="9" t="n">
        <v>0.217</v>
      </c>
      <c r="L51" s="6" t="n">
        <v>676.21</v>
      </c>
      <c r="M51" s="17" t="n">
        <v>0.71</v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157</v>
      </c>
      <c r="B52" s="16" t="s">
        <v>85</v>
      </c>
      <c r="C52" s="16" t="s">
        <v>158</v>
      </c>
      <c r="D52" s="16" t="s">
        <v>19</v>
      </c>
      <c r="E52" s="7" t="n">
        <v>4</v>
      </c>
      <c r="F52" s="6" t="n">
        <v>73.871</v>
      </c>
      <c r="G52" s="17" t="n">
        <v>1448.61</v>
      </c>
      <c r="H52" s="6" t="n">
        <v>15.38</v>
      </c>
      <c r="I52" s="16" t="s">
        <v>159</v>
      </c>
      <c r="J52" s="6" t="s">
        <f>=E52*((F52/100*G52)*Портфель!$Q$13 + H52*Портфель!$Q$13) </f>
      </c>
      <c r="K52" s="9" t="n">
        <v>0.0067</v>
      </c>
      <c r="L52" s="6" t="n">
        <v>1149.86</v>
      </c>
      <c r="M52" s="17" t="n">
        <v>0.69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160</v>
      </c>
      <c r="B53" s="16" t="s">
        <v>85</v>
      </c>
      <c r="C53" s="16" t="s">
        <v>161</v>
      </c>
      <c r="D53" s="16" t="s">
        <v>19</v>
      </c>
      <c r="E53" s="7" t="n">
        <v>4</v>
      </c>
      <c r="F53" s="6" t="n">
        <v>94.14</v>
      </c>
      <c r="G53" s="17" t="n">
        <v>1000</v>
      </c>
      <c r="H53" s="6" t="n">
        <v>3.7</v>
      </c>
      <c r="I53" s="16" t="s">
        <v>162</v>
      </c>
      <c r="J53" s="6" t="s">
        <f>=E53*((F53/100*G53)*Портфель!$Q$13 + H53*Портфель!$Q$13) </f>
      </c>
      <c r="K53" s="9" t="n">
        <v>0.2178</v>
      </c>
      <c r="L53" s="6" t="n">
        <v>886.76</v>
      </c>
      <c r="M53" s="17" t="n">
        <v>0.6</v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163</v>
      </c>
      <c r="B54" s="16" t="s">
        <v>85</v>
      </c>
      <c r="C54" s="16" t="s">
        <v>164</v>
      </c>
      <c r="D54" s="16" t="s">
        <v>19</v>
      </c>
      <c r="E54" s="7" t="n">
        <v>4</v>
      </c>
      <c r="F54" s="6" t="n">
        <v>87.25</v>
      </c>
      <c r="G54" s="17" t="n">
        <v>1000</v>
      </c>
      <c r="H54" s="6" t="n">
        <v>43.4</v>
      </c>
      <c r="I54" s="16" t="s">
        <v>165</v>
      </c>
      <c r="J54" s="6" t="s">
        <f>=E54*((F54/100*G54)*Портфель!$Q$13 + H54*Портфель!$Q$13) </f>
      </c>
      <c r="K54" s="9" t="n">
        <v>0.1531</v>
      </c>
      <c r="L54" s="6" t="n">
        <v>833.89</v>
      </c>
      <c r="M54" s="17" t="n">
        <v>0.58</v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166</v>
      </c>
      <c r="B55" s="16" t="s">
        <v>85</v>
      </c>
      <c r="C55" s="16" t="s">
        <v>167</v>
      </c>
      <c r="D55" s="16" t="s">
        <v>19</v>
      </c>
      <c r="E55" s="7" t="n">
        <v>2</v>
      </c>
      <c r="F55" s="6" t="n">
        <v>87.72</v>
      </c>
      <c r="G55" s="17" t="n">
        <v>1694.77</v>
      </c>
      <c r="H55" s="6" t="n">
        <v>2.55</v>
      </c>
      <c r="I55" s="16" t="s">
        <v>168</v>
      </c>
      <c r="J55" s="6" t="s">
        <f>=E55*((F55/100*G55)*Портфель!$Q$13 + H55*Портфель!$Q$13) </f>
      </c>
      <c r="K55" s="9" t="n">
        <v>0.1373</v>
      </c>
      <c r="L55" s="6" t="n">
        <v>1274.1</v>
      </c>
      <c r="M55" s="17" t="n">
        <v>0.47</v>
      </c>
      <c r="N55" s="16"/>
      <c r="O55" s="16"/>
      <c r="P55" s="17"/>
      <c r="Q55" s="17"/>
    </row>
    <row collapsed="false" customFormat="false" customHeight="false" hidden="false" ht="12.1" outlineLevel="0" r="56">
      <c r="A56" s="16" t="s">
        <v>169</v>
      </c>
      <c r="B56" s="16" t="s">
        <v>85</v>
      </c>
      <c r="C56" s="16" t="s">
        <v>170</v>
      </c>
      <c r="D56" s="16" t="s">
        <v>19</v>
      </c>
      <c r="E56" s="7" t="n">
        <v>3</v>
      </c>
      <c r="F56" s="6" t="n">
        <v>92.011</v>
      </c>
      <c r="G56" s="17" t="n">
        <v>1000</v>
      </c>
      <c r="H56" s="6" t="n">
        <v>43.49</v>
      </c>
      <c r="I56" s="16" t="s">
        <v>171</v>
      </c>
      <c r="J56" s="6" t="s">
        <f>=E56*((F56/100*G56)*Портфель!$Q$13 + H56*Портфель!$Q$13) </f>
      </c>
      <c r="K56" s="9" t="n">
        <v>0.0233</v>
      </c>
      <c r="L56" s="6" t="n">
        <v>941.68</v>
      </c>
      <c r="M56" s="17" t="n">
        <v>0.46</v>
      </c>
      <c r="N56" s="16"/>
      <c r="O56" s="16"/>
      <c r="P56" s="17"/>
      <c r="Q56" s="17"/>
    </row>
    <row collapsed="false" customFormat="false" customHeight="false" hidden="false" ht="12.1" outlineLevel="0" r="57">
      <c r="A57" s="16" t="s">
        <v>172</v>
      </c>
      <c r="B57" s="16" t="s">
        <v>85</v>
      </c>
      <c r="C57" s="16" t="s">
        <v>173</v>
      </c>
      <c r="D57" s="16" t="s">
        <v>19</v>
      </c>
      <c r="E57" s="7" t="n">
        <v>3</v>
      </c>
      <c r="F57" s="6" t="n">
        <v>92.42</v>
      </c>
      <c r="G57" s="17" t="n">
        <v>1000</v>
      </c>
      <c r="H57" s="6" t="n">
        <v>0.55</v>
      </c>
      <c r="I57" s="16" t="s">
        <v>174</v>
      </c>
      <c r="J57" s="6" t="s">
        <f>=E57*((F57/100*G57)*Портфель!$Q$13 + H57*Портфель!$Q$13) </f>
      </c>
      <c r="K57" s="9" t="n">
        <v>0.2603</v>
      </c>
      <c r="L57" s="6" t="n">
        <v>808.15</v>
      </c>
      <c r="M57" s="17" t="n">
        <v>0.44</v>
      </c>
      <c r="N57" s="16"/>
      <c r="O57" s="16"/>
      <c r="P57" s="17"/>
      <c r="Q57" s="17"/>
    </row>
    <row collapsed="false" customFormat="false" customHeight="false" hidden="false" ht="12.1" outlineLevel="0" r="58">
      <c r="A58" s="16" t="s">
        <v>175</v>
      </c>
      <c r="B58" s="16" t="s">
        <v>85</v>
      </c>
      <c r="C58" s="16" t="s">
        <v>176</v>
      </c>
      <c r="D58" s="16" t="s">
        <v>19</v>
      </c>
      <c r="E58" s="7" t="n">
        <v>3</v>
      </c>
      <c r="F58" s="6" t="n">
        <v>91.15</v>
      </c>
      <c r="G58" s="17" t="n">
        <v>1000</v>
      </c>
      <c r="H58" s="6" t="n">
        <v>1.48</v>
      </c>
      <c r="I58" s="16" t="s">
        <v>177</v>
      </c>
      <c r="J58" s="6" t="s">
        <f>=E58*((F58/100*G58)*Портфель!$Q$13 + H58*Портфель!$Q$13) </f>
      </c>
      <c r="K58" s="9" t="n">
        <v>0.1984</v>
      </c>
      <c r="L58" s="6" t="n">
        <v>872.08</v>
      </c>
      <c r="M58" s="17" t="n">
        <v>0.43</v>
      </c>
      <c r="N58" s="16"/>
      <c r="O58" s="16"/>
      <c r="P58" s="17"/>
      <c r="Q58" s="17"/>
    </row>
    <row collapsed="false" customFormat="false" customHeight="false" hidden="false" ht="12.1" outlineLevel="0" r="59">
      <c r="A59" s="16" t="s">
        <v>178</v>
      </c>
      <c r="B59" s="16" t="s">
        <v>85</v>
      </c>
      <c r="C59" s="16" t="s">
        <v>179</v>
      </c>
      <c r="D59" s="16" t="s">
        <v>19</v>
      </c>
      <c r="E59" s="7" t="n">
        <v>2</v>
      </c>
      <c r="F59" s="6" t="n">
        <v>109.63</v>
      </c>
      <c r="G59" s="17" t="n">
        <v>1000</v>
      </c>
      <c r="H59" s="6" t="n">
        <v>19.91</v>
      </c>
      <c r="I59" s="16" t="s">
        <v>180</v>
      </c>
      <c r="J59" s="6" t="s">
        <f>=E59*((F59/100*G59)*Портфель!$Q$13 + H59*Портфель!$Q$13) </f>
      </c>
      <c r="K59" s="9" t="n">
        <v>0.1578</v>
      </c>
      <c r="L59" s="6" t="n">
        <v>1086.78</v>
      </c>
      <c r="M59" s="17" t="n">
        <v>0.35</v>
      </c>
      <c r="N59" s="16"/>
      <c r="O59" s="16"/>
      <c r="P59" s="17"/>
      <c r="Q59" s="17"/>
    </row>
    <row collapsed="false" customFormat="false" customHeight="false" hidden="false" ht="12.1" outlineLevel="0" r="60">
      <c r="A60" s="16" t="s">
        <v>181</v>
      </c>
      <c r="B60" s="16" t="s">
        <v>85</v>
      </c>
      <c r="C60" s="16" t="s">
        <v>182</v>
      </c>
      <c r="D60" s="16" t="s">
        <v>19</v>
      </c>
      <c r="E60" s="7" t="n">
        <v>2</v>
      </c>
      <c r="F60" s="6" t="n">
        <v>102.84</v>
      </c>
      <c r="G60" s="17" t="n">
        <v>1000</v>
      </c>
      <c r="H60" s="6" t="n">
        <v>11.84</v>
      </c>
      <c r="I60" s="16" t="s">
        <v>183</v>
      </c>
      <c r="J60" s="6" t="s">
        <f>=E60*((F60/100*G60)*Портфель!$Q$13 + H60*Портфель!$Q$13) </f>
      </c>
      <c r="K60" s="9" t="n">
        <v>0.0147</v>
      </c>
      <c r="L60" s="6" t="n">
        <v>1025.21</v>
      </c>
      <c r="M60" s="17" t="n">
        <v>0.33</v>
      </c>
      <c r="N60" s="16"/>
      <c r="O60" s="16"/>
      <c r="P60" s="17"/>
      <c r="Q60" s="17"/>
    </row>
    <row collapsed="false" customFormat="false" customHeight="false" hidden="false" ht="12.1" outlineLevel="0" r="61">
      <c r="A61" s="16" t="s">
        <v>184</v>
      </c>
      <c r="B61" s="16" t="s">
        <v>85</v>
      </c>
      <c r="C61" s="16" t="s">
        <v>185</v>
      </c>
      <c r="D61" s="16" t="s">
        <v>19</v>
      </c>
      <c r="E61" s="7" t="n">
        <v>2</v>
      </c>
      <c r="F61" s="6" t="n">
        <v>102.47</v>
      </c>
      <c r="G61" s="17" t="n">
        <v>1000</v>
      </c>
      <c r="H61" s="6" t="n">
        <v>0.91</v>
      </c>
      <c r="I61" s="16" t="s">
        <v>186</v>
      </c>
      <c r="J61" s="6" t="s">
        <f>=E61*((F61/100*G61)*Портфель!$Q$13 + H61*Портфель!$Q$13) </f>
      </c>
      <c r="K61" s="9" t="n">
        <v>0.0101</v>
      </c>
      <c r="L61" s="6" t="n">
        <v>1028.98</v>
      </c>
      <c r="M61" s="17" t="n">
        <v>0.33</v>
      </c>
      <c r="N61" s="16"/>
      <c r="O61" s="16"/>
      <c r="P61" s="17"/>
      <c r="Q61" s="17"/>
    </row>
    <row collapsed="false" customFormat="false" customHeight="false" hidden="false" ht="12.1" outlineLevel="0" r="62">
      <c r="A62" s="16" t="s">
        <v>187</v>
      </c>
      <c r="B62" s="16" t="s">
        <v>85</v>
      </c>
      <c r="C62" s="16" t="s">
        <v>188</v>
      </c>
      <c r="D62" s="16" t="s">
        <v>19</v>
      </c>
      <c r="E62" s="7" t="n">
        <v>2</v>
      </c>
      <c r="F62" s="6" t="n">
        <v>102.28</v>
      </c>
      <c r="G62" s="17" t="n">
        <v>1000</v>
      </c>
      <c r="H62" s="6" t="n">
        <v>3.07</v>
      </c>
      <c r="I62" s="16" t="s">
        <v>189</v>
      </c>
      <c r="J62" s="6" t="s">
        <f>=E62*((F62/100*G62)*Портфель!$Q$13 + H62*Портфель!$Q$13) </f>
      </c>
      <c r="K62" s="9" t="n">
        <v>0.0126</v>
      </c>
      <c r="L62" s="6" t="n">
        <v>1052.91</v>
      </c>
      <c r="M62" s="17" t="n">
        <v>0.33</v>
      </c>
      <c r="N62" s="16"/>
      <c r="O62" s="16"/>
      <c r="P62" s="17"/>
      <c r="Q62" s="17"/>
    </row>
    <row collapsed="false" customFormat="false" customHeight="false" hidden="false" ht="12.1" outlineLevel="0" r="63">
      <c r="A63" s="16" t="s">
        <v>190</v>
      </c>
      <c r="B63" s="16" t="s">
        <v>85</v>
      </c>
      <c r="C63" s="16" t="s">
        <v>191</v>
      </c>
      <c r="D63" s="16" t="s">
        <v>19</v>
      </c>
      <c r="E63" s="7" t="n">
        <v>2</v>
      </c>
      <c r="F63" s="6" t="n">
        <v>103.33</v>
      </c>
      <c r="G63" s="17" t="n">
        <v>1000</v>
      </c>
      <c r="H63" s="6" t="n">
        <v>2.75</v>
      </c>
      <c r="I63" s="16" t="s">
        <v>192</v>
      </c>
      <c r="J63" s="6" t="s">
        <f>=E63*((F63/100*G63)*Портфель!$Q$13 + H63*Портфель!$Q$13) </f>
      </c>
      <c r="K63" s="9" t="n">
        <v>0.0108</v>
      </c>
      <c r="L63" s="6" t="n">
        <v>1038.76</v>
      </c>
      <c r="M63" s="17" t="n">
        <v>0.33</v>
      </c>
      <c r="N63" s="16"/>
      <c r="O63" s="16"/>
      <c r="P63" s="17"/>
      <c r="Q63" s="17"/>
    </row>
    <row collapsed="false" customFormat="false" customHeight="false" hidden="false" ht="12.1" outlineLevel="0" r="64">
      <c r="A64" s="16" t="s">
        <v>193</v>
      </c>
      <c r="B64" s="16" t="s">
        <v>85</v>
      </c>
      <c r="C64" s="16" t="s">
        <v>194</v>
      </c>
      <c r="D64" s="16" t="s">
        <v>19</v>
      </c>
      <c r="E64" s="7" t="n">
        <v>2</v>
      </c>
      <c r="F64" s="6" t="n">
        <v>101</v>
      </c>
      <c r="G64" s="17" t="n">
        <v>1000</v>
      </c>
      <c r="H64" s="6" t="n">
        <v>12.51</v>
      </c>
      <c r="I64" s="16" t="s">
        <v>195</v>
      </c>
      <c r="J64" s="6" t="s">
        <f>=E64*((F64/100*G64)*Портфель!$Q$13 + H64*Портфель!$Q$13) </f>
      </c>
      <c r="K64" s="9" t="n">
        <v>0.009</v>
      </c>
      <c r="L64" s="6" t="n">
        <v>1013.41</v>
      </c>
      <c r="M64" s="17" t="n">
        <v>0.32</v>
      </c>
      <c r="N64" s="16"/>
      <c r="O64" s="16"/>
      <c r="P64" s="17"/>
      <c r="Q64" s="17"/>
    </row>
    <row collapsed="false" customFormat="false" customHeight="false" hidden="false" ht="12.1" outlineLevel="0" r="65">
      <c r="A65" s="16" t="s">
        <v>196</v>
      </c>
      <c r="B65" s="16" t="s">
        <v>85</v>
      </c>
      <c r="C65" s="16" t="s">
        <v>197</v>
      </c>
      <c r="D65" s="16" t="s">
        <v>19</v>
      </c>
      <c r="E65" s="7" t="n">
        <v>2</v>
      </c>
      <c r="F65" s="6" t="n">
        <v>98.31</v>
      </c>
      <c r="G65" s="17" t="n">
        <v>1000</v>
      </c>
      <c r="H65" s="6" t="n">
        <v>19.07</v>
      </c>
      <c r="I65" s="16" t="s">
        <v>198</v>
      </c>
      <c r="J65" s="6" t="s">
        <f>=E65*((F65/100*G65)*Портфель!$Q$13 + H65*Портфель!$Q$13) </f>
      </c>
      <c r="K65" s="9" t="n">
        <v>0.186</v>
      </c>
      <c r="L65" s="6" t="n">
        <v>845.51</v>
      </c>
      <c r="M65" s="17" t="n">
        <v>0.32</v>
      </c>
      <c r="N65" s="16"/>
      <c r="O65" s="16"/>
      <c r="P65" s="17"/>
      <c r="Q65" s="17"/>
    </row>
    <row collapsed="false" customFormat="false" customHeight="false" hidden="false" ht="12.1" outlineLevel="0" r="66">
      <c r="A66" s="16" t="s">
        <v>199</v>
      </c>
      <c r="B66" s="16" t="s">
        <v>85</v>
      </c>
      <c r="C66" s="16" t="s">
        <v>200</v>
      </c>
      <c r="D66" s="16" t="s">
        <v>19</v>
      </c>
      <c r="E66" s="7" t="n">
        <v>2</v>
      </c>
      <c r="F66" s="6" t="n">
        <v>100.18</v>
      </c>
      <c r="G66" s="17" t="n">
        <v>1000</v>
      </c>
      <c r="H66" s="6" t="n">
        <v>10.4</v>
      </c>
      <c r="I66" s="16" t="s">
        <v>201</v>
      </c>
      <c r="J66" s="6" t="s">
        <f>=E66*((F66/100*G66)*Портфель!$Q$13 + H66*Портфель!$Q$13) </f>
      </c>
      <c r="K66" s="9" t="n">
        <v>0.192</v>
      </c>
      <c r="L66" s="6" t="n">
        <v>1015.5</v>
      </c>
      <c r="M66" s="17" t="n">
        <v>0.32</v>
      </c>
      <c r="N66" s="16"/>
      <c r="O66" s="16"/>
      <c r="P66" s="17"/>
      <c r="Q66" s="17"/>
    </row>
    <row collapsed="false" customFormat="false" customHeight="false" hidden="false" ht="12.1" outlineLevel="0" r="67">
      <c r="A67" s="16" t="s">
        <v>202</v>
      </c>
      <c r="B67" s="16" t="s">
        <v>85</v>
      </c>
      <c r="C67" s="16" t="s">
        <v>203</v>
      </c>
      <c r="D67" s="16" t="s">
        <v>19</v>
      </c>
      <c r="E67" s="7" t="n">
        <v>2</v>
      </c>
      <c r="F67" s="6" t="n">
        <v>100.06</v>
      </c>
      <c r="G67" s="17" t="n">
        <v>1000</v>
      </c>
      <c r="H67" s="6" t="n">
        <v>3.18</v>
      </c>
      <c r="I67" s="16" t="s">
        <v>204</v>
      </c>
      <c r="J67" s="6" t="s">
        <f>=E67*((F67/100*G67)*Портфель!$Q$13 + H67*Портфель!$Q$13) </f>
      </c>
      <c r="K67" s="9" t="n">
        <v>0.2044</v>
      </c>
      <c r="L67" s="6" t="n">
        <v>1016.68</v>
      </c>
      <c r="M67" s="17" t="n">
        <v>0.32</v>
      </c>
      <c r="N67" s="16"/>
      <c r="O67" s="16"/>
      <c r="P67" s="17"/>
      <c r="Q67" s="17"/>
    </row>
    <row collapsed="false" customFormat="false" customHeight="false" hidden="false" ht="12.1" outlineLevel="0" r="68">
      <c r="A68" s="16" t="s">
        <v>205</v>
      </c>
      <c r="B68" s="16" t="s">
        <v>85</v>
      </c>
      <c r="C68" s="16" t="s">
        <v>206</v>
      </c>
      <c r="D68" s="16" t="s">
        <v>19</v>
      </c>
      <c r="E68" s="7" t="n">
        <v>2</v>
      </c>
      <c r="F68" s="6" t="n">
        <v>92.864</v>
      </c>
      <c r="G68" s="17" t="n">
        <v>1000</v>
      </c>
      <c r="H68" s="6" t="n">
        <v>45.23</v>
      </c>
      <c r="I68" s="16" t="s">
        <v>207</v>
      </c>
      <c r="J68" s="6" t="s">
        <f>=E68*((F68/100*G68)*Портфель!$Q$13 + H68*Портфель!$Q$13) </f>
      </c>
      <c r="K68" s="9" t="n">
        <v>0.0117</v>
      </c>
      <c r="L68" s="6" t="n">
        <v>962.59</v>
      </c>
      <c r="M68" s="17" t="n">
        <v>0.31</v>
      </c>
      <c r="N68" s="16"/>
      <c r="O68" s="16"/>
      <c r="P68" s="17"/>
      <c r="Q68" s="17"/>
    </row>
    <row collapsed="false" customFormat="false" customHeight="false" hidden="false" ht="12.1" outlineLevel="0" r="69">
      <c r="A69" s="16" t="s">
        <v>208</v>
      </c>
      <c r="B69" s="16" t="s">
        <v>85</v>
      </c>
      <c r="C69" s="16" t="s">
        <v>209</v>
      </c>
      <c r="D69" s="16" t="s">
        <v>19</v>
      </c>
      <c r="E69" s="7" t="n">
        <v>2</v>
      </c>
      <c r="F69" s="6" t="n">
        <v>92.592</v>
      </c>
      <c r="G69" s="17" t="n">
        <v>1000</v>
      </c>
      <c r="H69" s="6" t="n">
        <v>45.23</v>
      </c>
      <c r="I69" s="16" t="s">
        <v>210</v>
      </c>
      <c r="J69" s="6" t="s">
        <f>=E69*((F69/100*G69)*Портфель!$Q$13 + H69*Портфель!$Q$13) </f>
      </c>
      <c r="K69" s="9" t="n">
        <v>0.006</v>
      </c>
      <c r="L69" s="6" t="n">
        <v>965.37</v>
      </c>
      <c r="M69" s="17" t="n">
        <v>0.31</v>
      </c>
      <c r="N69" s="16"/>
      <c r="O69" s="16"/>
      <c r="P69" s="17"/>
      <c r="Q69" s="17"/>
    </row>
    <row collapsed="false" customFormat="false" customHeight="false" hidden="false" ht="12.1" outlineLevel="0" r="70">
      <c r="A70" s="16" t="s">
        <v>211</v>
      </c>
      <c r="B70" s="16" t="s">
        <v>85</v>
      </c>
      <c r="C70" s="16" t="s">
        <v>212</v>
      </c>
      <c r="D70" s="16" t="s">
        <v>19</v>
      </c>
      <c r="E70" s="7" t="n">
        <v>2</v>
      </c>
      <c r="F70" s="6" t="n">
        <v>93.75</v>
      </c>
      <c r="G70" s="17" t="n">
        <v>1000</v>
      </c>
      <c r="H70" s="6" t="n">
        <v>26.51</v>
      </c>
      <c r="I70" s="16" t="s">
        <v>213</v>
      </c>
      <c r="J70" s="6" t="s">
        <f>=E70*((F70/100*G70)*Портфель!$Q$13 + H70*Портфель!$Q$13) </f>
      </c>
      <c r="K70" s="9" t="n">
        <v>0.1053</v>
      </c>
      <c r="L70" s="6" t="n">
        <v>956.87</v>
      </c>
      <c r="M70" s="17" t="n">
        <v>0.31</v>
      </c>
      <c r="N70" s="16"/>
      <c r="O70" s="16"/>
      <c r="P70" s="17"/>
      <c r="Q70" s="17"/>
    </row>
    <row collapsed="false" customFormat="false" customHeight="false" hidden="false" ht="12.1" outlineLevel="0" r="71">
      <c r="A71" s="16" t="s">
        <v>214</v>
      </c>
      <c r="B71" s="16" t="s">
        <v>85</v>
      </c>
      <c r="C71" s="16" t="s">
        <v>215</v>
      </c>
      <c r="D71" s="16" t="s">
        <v>19</v>
      </c>
      <c r="E71" s="7" t="n">
        <v>2</v>
      </c>
      <c r="F71" s="6" t="n">
        <v>90.26</v>
      </c>
      <c r="G71" s="17" t="n">
        <v>1000</v>
      </c>
      <c r="H71" s="6" t="n">
        <v>11.35</v>
      </c>
      <c r="I71" s="16" t="s">
        <v>216</v>
      </c>
      <c r="J71" s="6" t="s">
        <f>=E71*((F71/100*G71)*Портфель!$Q$13 + H71*Портфель!$Q$13) </f>
      </c>
      <c r="K71" s="9" t="n">
        <v>0.255</v>
      </c>
      <c r="L71" s="6" t="n">
        <v>819.58</v>
      </c>
      <c r="M71" s="17" t="n">
        <v>0.29</v>
      </c>
      <c r="N71" s="16"/>
      <c r="O71" s="16"/>
      <c r="P71" s="17"/>
      <c r="Q71" s="17"/>
    </row>
    <row collapsed="false" customFormat="false" customHeight="false" hidden="false" ht="12.1" outlineLevel="0" r="72">
      <c r="A72" s="16" t="s">
        <v>217</v>
      </c>
      <c r="B72" s="16" t="s">
        <v>85</v>
      </c>
      <c r="C72" s="16" t="s">
        <v>218</v>
      </c>
      <c r="D72" s="16" t="s">
        <v>19</v>
      </c>
      <c r="E72" s="7" t="n">
        <v>2</v>
      </c>
      <c r="F72" s="6" t="n">
        <v>90.39</v>
      </c>
      <c r="G72" s="17" t="n">
        <v>1000</v>
      </c>
      <c r="H72" s="6" t="n">
        <v>12.05</v>
      </c>
      <c r="I72" s="16" t="s">
        <v>219</v>
      </c>
      <c r="J72" s="6" t="s">
        <f>=E72*((F72/100*G72)*Портфель!$Q$13 + H72*Портфель!$Q$13) </f>
      </c>
      <c r="K72" s="9" t="n">
        <v>0.3193</v>
      </c>
      <c r="L72" s="6" t="n">
        <v>783.8</v>
      </c>
      <c r="M72" s="17" t="n">
        <v>0.29</v>
      </c>
      <c r="N72" s="16"/>
      <c r="O72" s="16"/>
      <c r="P72" s="17"/>
      <c r="Q72" s="17"/>
    </row>
    <row collapsed="false" customFormat="false" customHeight="false" hidden="false" ht="12.1" outlineLevel="0" r="73">
      <c r="A73" s="16" t="s">
        <v>220</v>
      </c>
      <c r="B73" s="16" t="s">
        <v>85</v>
      </c>
      <c r="C73" s="16" t="s">
        <v>221</v>
      </c>
      <c r="D73" s="16" t="s">
        <v>19</v>
      </c>
      <c r="E73" s="7" t="n">
        <v>2</v>
      </c>
      <c r="F73" s="6" t="n">
        <v>87.21</v>
      </c>
      <c r="G73" s="17" t="n">
        <v>1000</v>
      </c>
      <c r="H73" s="6" t="n">
        <v>39.14</v>
      </c>
      <c r="I73" s="16" t="s">
        <v>222</v>
      </c>
      <c r="J73" s="6" t="s">
        <f>=E73*((F73/100*G73)*Портфель!$Q$13 + H73*Портфель!$Q$13) </f>
      </c>
      <c r="K73" s="9" t="n">
        <v>0.1558</v>
      </c>
      <c r="L73" s="6" t="n">
        <v>860.31</v>
      </c>
      <c r="M73" s="17" t="n">
        <v>0.29</v>
      </c>
      <c r="N73" s="16"/>
      <c r="O73" s="16"/>
      <c r="P73" s="17"/>
      <c r="Q73" s="17"/>
    </row>
    <row collapsed="false" customFormat="false" customHeight="false" hidden="false" ht="12.1" outlineLevel="0" r="74">
      <c r="A74" s="16" t="s">
        <v>223</v>
      </c>
      <c r="B74" s="16" t="s">
        <v>85</v>
      </c>
      <c r="C74" s="16" t="s">
        <v>224</v>
      </c>
      <c r="D74" s="16" t="s">
        <v>19</v>
      </c>
      <c r="E74" s="7" t="n">
        <v>2</v>
      </c>
      <c r="F74" s="6" t="n">
        <v>86.3</v>
      </c>
      <c r="G74" s="17" t="n">
        <v>1000</v>
      </c>
      <c r="H74" s="6" t="n">
        <v>27.67</v>
      </c>
      <c r="I74" s="16" t="s">
        <v>225</v>
      </c>
      <c r="J74" s="6" t="s">
        <f>=E74*((F74/100*G74)*Портфель!$Q$13 + H74*Портфель!$Q$13) </f>
      </c>
      <c r="K74" s="9" t="n">
        <v>0.2123</v>
      </c>
      <c r="L74" s="6" t="n">
        <v>799.69</v>
      </c>
      <c r="M74" s="17" t="n">
        <v>0.28</v>
      </c>
      <c r="N74" s="16"/>
      <c r="O74" s="16"/>
      <c r="P74" s="17"/>
      <c r="Q74" s="17"/>
    </row>
    <row collapsed="false" customFormat="false" customHeight="false" hidden="false" ht="12.1" outlineLevel="0" r="75">
      <c r="A75" s="16" t="s">
        <v>226</v>
      </c>
      <c r="B75" s="16" t="s">
        <v>85</v>
      </c>
      <c r="C75" s="16" t="s">
        <v>227</v>
      </c>
      <c r="D75" s="16" t="s">
        <v>19</v>
      </c>
      <c r="E75" s="7" t="n">
        <v>2</v>
      </c>
      <c r="F75" s="6" t="n">
        <v>96.17</v>
      </c>
      <c r="G75" s="17" t="n">
        <v>875</v>
      </c>
      <c r="H75" s="6" t="n">
        <v>8.41</v>
      </c>
      <c r="I75" s="16" t="s">
        <v>228</v>
      </c>
      <c r="J75" s="6" t="s">
        <f>=E75*((F75/100*G75)*Портфель!$Q$13 + H75*Портфель!$Q$13) </f>
      </c>
      <c r="K75" s="9" t="n">
        <v>0.22</v>
      </c>
      <c r="L75" s="6" t="n">
        <v>877.43</v>
      </c>
      <c r="M75" s="17" t="n">
        <v>0.27</v>
      </c>
      <c r="N75" s="16"/>
      <c r="O75" s="16"/>
      <c r="P75" s="17"/>
      <c r="Q75" s="17"/>
    </row>
    <row collapsed="false" customFormat="false" customHeight="false" hidden="false" ht="12.1" outlineLevel="0" r="76">
      <c r="A76" s="16" t="s">
        <v>229</v>
      </c>
      <c r="B76" s="16" t="s">
        <v>85</v>
      </c>
      <c r="C76" s="16" t="s">
        <v>230</v>
      </c>
      <c r="D76" s="16" t="s">
        <v>19</v>
      </c>
      <c r="E76" s="7" t="n">
        <v>2</v>
      </c>
      <c r="F76" s="6" t="n">
        <v>80.59</v>
      </c>
      <c r="G76" s="17" t="n">
        <v>1000</v>
      </c>
      <c r="H76" s="6" t="n">
        <v>14.89</v>
      </c>
      <c r="I76" s="16" t="s">
        <v>231</v>
      </c>
      <c r="J76" s="6" t="s">
        <f>=E76*((F76/100*G76)*Портфель!$Q$13 + H76*Портфель!$Q$13) </f>
      </c>
      <c r="K76" s="9" t="n">
        <v>0.2401</v>
      </c>
      <c r="L76" s="6" t="n">
        <v>708.92</v>
      </c>
      <c r="M76" s="17" t="n">
        <v>0.26</v>
      </c>
      <c r="N76" s="16"/>
      <c r="O76" s="16"/>
      <c r="P76" s="17"/>
      <c r="Q76" s="17"/>
    </row>
    <row collapsed="false" customFormat="false" customHeight="false" hidden="false" ht="12.1" outlineLevel="0" r="77">
      <c r="A77" s="16" t="s">
        <v>232</v>
      </c>
      <c r="B77" s="16" t="s">
        <v>85</v>
      </c>
      <c r="C77" s="16" t="s">
        <v>233</v>
      </c>
      <c r="D77" s="16" t="s">
        <v>19</v>
      </c>
      <c r="E77" s="7" t="n">
        <v>2</v>
      </c>
      <c r="F77" s="6" t="n">
        <v>62.08</v>
      </c>
      <c r="G77" s="17" t="n">
        <v>1000</v>
      </c>
      <c r="H77" s="6" t="n">
        <v>1.37</v>
      </c>
      <c r="I77" s="16" t="s">
        <v>180</v>
      </c>
      <c r="J77" s="6" t="s">
        <f>=E77*((F77/100*G77)*Портфель!$Q$13 + H77*Портфель!$Q$13) </f>
      </c>
      <c r="K77" s="9" t="n">
        <v>0.1603</v>
      </c>
      <c r="L77" s="6" t="n">
        <v>548.64</v>
      </c>
      <c r="M77" s="17" t="n">
        <v>0.2</v>
      </c>
      <c r="N77" s="16"/>
      <c r="O77" s="16"/>
      <c r="P77" s="17"/>
      <c r="Q77" s="17"/>
    </row>
    <row collapsed="false" customFormat="false" customHeight="false" hidden="false" ht="12.1" outlineLevel="0" r="78">
      <c r="A78" s="16" t="s">
        <v>234</v>
      </c>
      <c r="B78" s="16" t="s">
        <v>85</v>
      </c>
      <c r="C78" s="16" t="s">
        <v>235</v>
      </c>
      <c r="D78" s="16" t="s">
        <v>19</v>
      </c>
      <c r="E78" s="7" t="n">
        <v>1</v>
      </c>
      <c r="F78" s="6" t="n">
        <v>108.82</v>
      </c>
      <c r="G78" s="17" t="n">
        <v>1000</v>
      </c>
      <c r="H78" s="6" t="n">
        <v>15.29</v>
      </c>
      <c r="I78" s="16" t="s">
        <v>236</v>
      </c>
      <c r="J78" s="6" t="s">
        <f>=E78*((F78/100*G78)*Портфель!$Q$13 + H78*Портфель!$Q$13) </f>
      </c>
      <c r="K78" s="9" t="n">
        <v>0.2844</v>
      </c>
      <c r="L78" s="6" t="n">
        <v>1032.56</v>
      </c>
      <c r="M78" s="17" t="n">
        <v>0.18</v>
      </c>
      <c r="N78" s="16"/>
      <c r="O78" s="16"/>
      <c r="P78" s="17"/>
      <c r="Q78" s="17"/>
    </row>
    <row collapsed="false" customFormat="false" customHeight="false" hidden="false" ht="12.1" outlineLevel="0" r="79">
      <c r="A79" s="16" t="s">
        <v>237</v>
      </c>
      <c r="B79" s="16" t="s">
        <v>85</v>
      </c>
      <c r="C79" s="16" t="s">
        <v>238</v>
      </c>
      <c r="D79" s="16" t="s">
        <v>19</v>
      </c>
      <c r="E79" s="7" t="n">
        <v>1</v>
      </c>
      <c r="F79" s="6" t="n">
        <v>105</v>
      </c>
      <c r="G79" s="17" t="n">
        <v>1000</v>
      </c>
      <c r="H79" s="6" t="n">
        <v>71.59</v>
      </c>
      <c r="I79" s="16" t="s">
        <v>239</v>
      </c>
      <c r="J79" s="6" t="s">
        <f>=E79*((F79/100*G79)*Портфель!$Q$13 + H79*Портфель!$Q$13) </f>
      </c>
      <c r="K79" s="9" t="n">
        <v>0.2182</v>
      </c>
      <c r="L79" s="6" t="n">
        <v>1102.66</v>
      </c>
      <c r="M79" s="17" t="n">
        <v>0.18</v>
      </c>
      <c r="N79" s="16"/>
      <c r="O79" s="16"/>
      <c r="P79" s="17"/>
      <c r="Q79" s="17"/>
    </row>
    <row collapsed="false" customFormat="false" customHeight="false" hidden="false" ht="12.1" outlineLevel="0" r="80">
      <c r="A80" s="16" t="s">
        <v>240</v>
      </c>
      <c r="B80" s="16" t="s">
        <v>85</v>
      </c>
      <c r="C80" s="16" t="s">
        <v>241</v>
      </c>
      <c r="D80" s="16" t="s">
        <v>19</v>
      </c>
      <c r="E80" s="7" t="n">
        <v>1</v>
      </c>
      <c r="F80" s="6" t="n">
        <v>102.389</v>
      </c>
      <c r="G80" s="17" t="n">
        <v>1000</v>
      </c>
      <c r="H80" s="6" t="n">
        <v>103</v>
      </c>
      <c r="I80" s="16" t="s">
        <v>242</v>
      </c>
      <c r="J80" s="6" t="s">
        <f>=E80*((F80/100*G80)*Портфель!$Q$13 + H80*Портфель!$Q$13) </f>
      </c>
      <c r="K80" s="9" t="n">
        <v>0.1471</v>
      </c>
      <c r="L80" s="6" t="n">
        <v>1068.61</v>
      </c>
      <c r="M80" s="17" t="n">
        <v>0.18</v>
      </c>
      <c r="N80" s="16"/>
      <c r="O80" s="16"/>
      <c r="P80" s="17"/>
      <c r="Q80" s="17"/>
    </row>
    <row collapsed="false" customFormat="false" customHeight="false" hidden="false" ht="12.1" outlineLevel="0" r="81">
      <c r="A81" s="16" t="s">
        <v>243</v>
      </c>
      <c r="B81" s="16" t="s">
        <v>85</v>
      </c>
      <c r="C81" s="16" t="s">
        <v>244</v>
      </c>
      <c r="D81" s="16" t="s">
        <v>19</v>
      </c>
      <c r="E81" s="7" t="n">
        <v>1</v>
      </c>
      <c r="F81" s="6" t="n">
        <v>105.78</v>
      </c>
      <c r="G81" s="17" t="n">
        <v>1000</v>
      </c>
      <c r="H81" s="6" t="n">
        <v>1.97</v>
      </c>
      <c r="I81" s="16" t="s">
        <v>245</v>
      </c>
      <c r="J81" s="6" t="s">
        <f>=E81*((F81/100*G81)*Портфель!$Q$13 + H81*Портфель!$Q$13) </f>
      </c>
      <c r="K81" s="9" t="n">
        <v>0.0136</v>
      </c>
      <c r="L81" s="6" t="n">
        <v>1060.38</v>
      </c>
      <c r="M81" s="17" t="n">
        <v>0.17</v>
      </c>
      <c r="N81" s="16"/>
      <c r="O81" s="16"/>
      <c r="P81" s="17"/>
      <c r="Q81" s="17"/>
    </row>
    <row collapsed="false" customFormat="false" customHeight="false" hidden="false" ht="12.1" outlineLevel="0" r="82">
      <c r="A82" s="16" t="s">
        <v>246</v>
      </c>
      <c r="B82" s="16" t="s">
        <v>85</v>
      </c>
      <c r="C82" s="16" t="s">
        <v>247</v>
      </c>
      <c r="D82" s="16" t="s">
        <v>19</v>
      </c>
      <c r="E82" s="7" t="n">
        <v>1</v>
      </c>
      <c r="F82" s="6" t="n">
        <v>105.75</v>
      </c>
      <c r="G82" s="17" t="n">
        <v>1000</v>
      </c>
      <c r="H82" s="6" t="n">
        <v>6.99</v>
      </c>
      <c r="I82" s="16" t="s">
        <v>248</v>
      </c>
      <c r="J82" s="6" t="s">
        <f>=E82*((F82/100*G82)*Портфель!$Q$13 + H82*Портфель!$Q$13) </f>
      </c>
      <c r="K82" s="9" t="n">
        <v>0.2453</v>
      </c>
      <c r="L82" s="6" t="n">
        <v>1045.7</v>
      </c>
      <c r="M82" s="17" t="n">
        <v>0.17</v>
      </c>
      <c r="N82" s="16"/>
      <c r="O82" s="16"/>
      <c r="P82" s="17"/>
      <c r="Q82" s="17"/>
    </row>
    <row collapsed="false" customFormat="false" customHeight="false" hidden="false" ht="12.1" outlineLevel="0" r="83">
      <c r="A83" s="16" t="s">
        <v>249</v>
      </c>
      <c r="B83" s="16" t="s">
        <v>85</v>
      </c>
      <c r="C83" s="16" t="s">
        <v>250</v>
      </c>
      <c r="D83" s="16" t="s">
        <v>19</v>
      </c>
      <c r="E83" s="7" t="n">
        <v>1</v>
      </c>
      <c r="F83" s="6" t="n">
        <v>98.11</v>
      </c>
      <c r="G83" s="17" t="n">
        <v>1000</v>
      </c>
      <c r="H83" s="6" t="n">
        <v>1.14</v>
      </c>
      <c r="I83" s="16" t="s">
        <v>251</v>
      </c>
      <c r="J83" s="6" t="s">
        <f>=E83*((F83/100*G83)*Портфель!$Q$13 + H83*Портфель!$Q$13) </f>
      </c>
      <c r="K83" s="9" t="n">
        <v>0.0071</v>
      </c>
      <c r="L83" s="6" t="n">
        <v>986.75</v>
      </c>
      <c r="M83" s="17" t="n">
        <v>0.16</v>
      </c>
      <c r="N83" s="16"/>
      <c r="O83" s="16"/>
      <c r="P83" s="17"/>
      <c r="Q83" s="17"/>
    </row>
    <row collapsed="false" customFormat="false" customHeight="false" hidden="false" ht="12.1" outlineLevel="0" r="84">
      <c r="A84" s="16" t="s">
        <v>252</v>
      </c>
      <c r="B84" s="16" t="s">
        <v>85</v>
      </c>
      <c r="C84" s="16" t="s">
        <v>253</v>
      </c>
      <c r="D84" s="16" t="s">
        <v>19</v>
      </c>
      <c r="E84" s="7" t="n">
        <v>1</v>
      </c>
      <c r="F84" s="6" t="n">
        <v>103.23</v>
      </c>
      <c r="G84" s="17" t="n">
        <v>1000</v>
      </c>
      <c r="H84" s="6" t="n">
        <v>1.95</v>
      </c>
      <c r="I84" s="16" t="s">
        <v>251</v>
      </c>
      <c r="J84" s="6" t="s">
        <f>=E84*((F84/100*G84)*Портфель!$Q$13 + H84*Портфель!$Q$13) </f>
      </c>
      <c r="K84" s="9" t="n">
        <v>0.225</v>
      </c>
      <c r="L84" s="6" t="n">
        <v>1022.21</v>
      </c>
      <c r="M84" s="17" t="n">
        <v>0.16</v>
      </c>
      <c r="N84" s="16"/>
      <c r="O84" s="16"/>
      <c r="P84" s="17"/>
      <c r="Q84" s="17"/>
    </row>
    <row collapsed="false" customFormat="false" customHeight="false" hidden="false" ht="12.1" outlineLevel="0" r="85">
      <c r="A85" s="16" t="s">
        <v>254</v>
      </c>
      <c r="B85" s="16" t="s">
        <v>85</v>
      </c>
      <c r="C85" s="16" t="s">
        <v>255</v>
      </c>
      <c r="D85" s="16" t="s">
        <v>19</v>
      </c>
      <c r="E85" s="7" t="n">
        <v>1</v>
      </c>
      <c r="F85" s="6" t="n">
        <v>98.67</v>
      </c>
      <c r="G85" s="17" t="n">
        <v>1000</v>
      </c>
      <c r="H85" s="6" t="n">
        <v>6.07</v>
      </c>
      <c r="I85" s="16" t="s">
        <v>256</v>
      </c>
      <c r="J85" s="6" t="s">
        <f>=E85*((F85/100*G85)*Портфель!$Q$13 + H85*Портфель!$Q$13) </f>
      </c>
      <c r="K85" s="9" t="n">
        <v>0.0158</v>
      </c>
      <c r="L85" s="6" t="n">
        <v>988.66</v>
      </c>
      <c r="M85" s="17" t="n">
        <v>0.16</v>
      </c>
      <c r="N85" s="16"/>
      <c r="O85" s="16"/>
      <c r="P85" s="17"/>
      <c r="Q85" s="17"/>
    </row>
    <row collapsed="false" customFormat="false" customHeight="false" hidden="false" ht="12.1" outlineLevel="0" r="86">
      <c r="A86" s="16" t="s">
        <v>257</v>
      </c>
      <c r="B86" s="16" t="s">
        <v>85</v>
      </c>
      <c r="C86" s="16" t="s">
        <v>258</v>
      </c>
      <c r="D86" s="16" t="s">
        <v>19</v>
      </c>
      <c r="E86" s="7" t="n">
        <v>1</v>
      </c>
      <c r="F86" s="6" t="n">
        <v>98.1</v>
      </c>
      <c r="G86" s="17" t="n">
        <v>1000</v>
      </c>
      <c r="H86" s="6" t="n">
        <v>7.47</v>
      </c>
      <c r="I86" s="16" t="s">
        <v>259</v>
      </c>
      <c r="J86" s="6" t="s">
        <f>=E86*((F86/100*G86)*Портфель!$Q$13 + H86*Портфель!$Q$13) </f>
      </c>
      <c r="K86" s="9" t="n">
        <v>0.224</v>
      </c>
      <c r="L86" s="6" t="n">
        <v>981.05</v>
      </c>
      <c r="M86" s="17" t="n">
        <v>0.16</v>
      </c>
      <c r="N86" s="16"/>
      <c r="O86" s="16"/>
      <c r="P86" s="17"/>
      <c r="Q86" s="17"/>
    </row>
    <row collapsed="false" customFormat="false" customHeight="false" hidden="false" ht="12.1" outlineLevel="0" r="87">
      <c r="A87" s="16" t="s">
        <v>260</v>
      </c>
      <c r="B87" s="16" t="s">
        <v>85</v>
      </c>
      <c r="C87" s="16" t="s">
        <v>261</v>
      </c>
      <c r="D87" s="16" t="s">
        <v>19</v>
      </c>
      <c r="E87" s="7" t="n">
        <v>1</v>
      </c>
      <c r="F87" s="6" t="n">
        <v>99.61</v>
      </c>
      <c r="G87" s="17" t="n">
        <v>1000</v>
      </c>
      <c r="H87" s="6" t="n">
        <v>24.53</v>
      </c>
      <c r="I87" s="16" t="s">
        <v>262</v>
      </c>
      <c r="J87" s="6" t="s">
        <f>=E87*((F87/100*G87)*Портфель!$Q$13 + H87*Портфель!$Q$13) </f>
      </c>
      <c r="K87" s="9" t="n">
        <v>0.0976</v>
      </c>
      <c r="L87" s="6" t="n">
        <v>1028.46</v>
      </c>
      <c r="M87" s="17" t="n">
        <v>0.16</v>
      </c>
      <c r="N87" s="16"/>
      <c r="O87" s="16"/>
      <c r="P87" s="17"/>
      <c r="Q87" s="17"/>
    </row>
    <row collapsed="false" customFormat="false" customHeight="false" hidden="false" ht="12.1" outlineLevel="0" r="88">
      <c r="A88" s="16" t="s">
        <v>263</v>
      </c>
      <c r="B88" s="16" t="s">
        <v>85</v>
      </c>
      <c r="C88" s="16" t="s">
        <v>264</v>
      </c>
      <c r="D88" s="16" t="s">
        <v>19</v>
      </c>
      <c r="E88" s="7" t="n">
        <v>1</v>
      </c>
      <c r="F88" s="6" t="n">
        <v>102.5</v>
      </c>
      <c r="G88" s="17" t="n">
        <v>1000</v>
      </c>
      <c r="H88" s="6" t="n">
        <v>2.11</v>
      </c>
      <c r="I88" s="16" t="s">
        <v>265</v>
      </c>
      <c r="J88" s="6" t="s">
        <f>=E88*((F88/100*G88)*Портфель!$Q$13 + H88*Портфель!$Q$13) </f>
      </c>
      <c r="K88" s="9" t="n">
        <v>0.0179</v>
      </c>
      <c r="L88" s="6" t="n">
        <v>1021.7</v>
      </c>
      <c r="M88" s="17" t="n">
        <v>0.16</v>
      </c>
      <c r="N88" s="16"/>
      <c r="O88" s="16"/>
      <c r="P88" s="17"/>
      <c r="Q88" s="17"/>
    </row>
    <row collapsed="false" customFormat="false" customHeight="false" hidden="false" ht="12.1" outlineLevel="0" r="89">
      <c r="A89" s="16" t="s">
        <v>266</v>
      </c>
      <c r="B89" s="16" t="s">
        <v>85</v>
      </c>
      <c r="C89" s="16" t="s">
        <v>267</v>
      </c>
      <c r="D89" s="16" t="s">
        <v>19</v>
      </c>
      <c r="E89" s="7" t="n">
        <v>1</v>
      </c>
      <c r="F89" s="6" t="n">
        <v>96.39</v>
      </c>
      <c r="G89" s="17" t="n">
        <v>1000</v>
      </c>
      <c r="H89" s="6" t="n">
        <v>27.57</v>
      </c>
      <c r="I89" s="16" t="s">
        <v>268</v>
      </c>
      <c r="J89" s="6" t="s">
        <f>=E89*((F89/100*G89)*Портфель!$Q$13 + H89*Портфель!$Q$13) </f>
      </c>
      <c r="K89" s="9" t="n">
        <v>0.2456</v>
      </c>
      <c r="L89" s="6" t="n">
        <v>842.03</v>
      </c>
      <c r="M89" s="17" t="n">
        <v>0.16</v>
      </c>
      <c r="N89" s="16"/>
      <c r="O89" s="16"/>
      <c r="P89" s="17"/>
      <c r="Q89" s="17"/>
    </row>
    <row collapsed="false" customFormat="false" customHeight="false" hidden="false" ht="12.1" outlineLevel="0" r="90">
      <c r="A90" s="16" t="s">
        <v>269</v>
      </c>
      <c r="B90" s="16" t="s">
        <v>85</v>
      </c>
      <c r="C90" s="16" t="s">
        <v>270</v>
      </c>
      <c r="D90" s="16" t="s">
        <v>19</v>
      </c>
      <c r="E90" s="7" t="n">
        <v>1</v>
      </c>
      <c r="F90" s="6" t="n">
        <v>95.39</v>
      </c>
      <c r="G90" s="17" t="n">
        <v>1000</v>
      </c>
      <c r="H90" s="6" t="n">
        <v>44.01</v>
      </c>
      <c r="I90" s="16" t="s">
        <v>271</v>
      </c>
      <c r="J90" s="6" t="s">
        <f>=E90*((F90/100*G90)*Портфель!$Q$13 + H90*Портфель!$Q$13) </f>
      </c>
      <c r="K90" s="9" t="n">
        <v>0.2533</v>
      </c>
      <c r="L90" s="6" t="n">
        <v>894.46</v>
      </c>
      <c r="M90" s="17" t="n">
        <v>0.16</v>
      </c>
      <c r="N90" s="16"/>
      <c r="O90" s="16"/>
      <c r="P90" s="17"/>
      <c r="Q90" s="17"/>
    </row>
    <row collapsed="false" customFormat="false" customHeight="false" hidden="false" ht="12.1" outlineLevel="0" r="91">
      <c r="A91" s="16" t="s">
        <v>272</v>
      </c>
      <c r="B91" s="16" t="s">
        <v>85</v>
      </c>
      <c r="C91" s="16" t="s">
        <v>273</v>
      </c>
      <c r="D91" s="16" t="s">
        <v>19</v>
      </c>
      <c r="E91" s="7" t="n">
        <v>1</v>
      </c>
      <c r="F91" s="6" t="n">
        <v>98.86</v>
      </c>
      <c r="G91" s="17" t="n">
        <v>1000</v>
      </c>
      <c r="H91" s="6" t="n">
        <v>16.86</v>
      </c>
      <c r="I91" s="16" t="s">
        <v>274</v>
      </c>
      <c r="J91" s="6" t="s">
        <f>=E91*((F91/100*G91)*Портфель!$Q$13 + H91*Портфель!$Q$13) </f>
      </c>
      <c r="K91" s="9" t="n">
        <v>0.1893</v>
      </c>
      <c r="L91" s="6" t="n">
        <v>1013.35</v>
      </c>
      <c r="M91" s="17" t="n">
        <v>0.16</v>
      </c>
      <c r="N91" s="16"/>
      <c r="O91" s="16"/>
      <c r="P91" s="17"/>
      <c r="Q91" s="17"/>
    </row>
    <row collapsed="false" customFormat="false" customHeight="false" hidden="false" ht="12.1" outlineLevel="0" r="92">
      <c r="A92" s="16" t="s">
        <v>275</v>
      </c>
      <c r="B92" s="16" t="s">
        <v>85</v>
      </c>
      <c r="C92" s="16" t="s">
        <v>276</v>
      </c>
      <c r="D92" s="16" t="s">
        <v>19</v>
      </c>
      <c r="E92" s="7" t="n">
        <v>1</v>
      </c>
      <c r="F92" s="6" t="n">
        <v>95.39</v>
      </c>
      <c r="G92" s="17" t="n">
        <v>1000</v>
      </c>
      <c r="H92" s="6" t="n">
        <v>35.28</v>
      </c>
      <c r="I92" s="16" t="s">
        <v>277</v>
      </c>
      <c r="J92" s="6" t="s">
        <f>=E92*((F92/100*G92)*Портфель!$Q$13 + H92*Портфель!$Q$13) </f>
      </c>
      <c r="K92" s="9" t="n">
        <v>0.0863</v>
      </c>
      <c r="L92" s="6" t="n">
        <v>957.61</v>
      </c>
      <c r="M92" s="17" t="n">
        <v>0.16</v>
      </c>
      <c r="N92" s="16"/>
      <c r="O92" s="16"/>
      <c r="P92" s="17"/>
      <c r="Q92" s="17"/>
    </row>
    <row collapsed="false" customFormat="false" customHeight="false" hidden="false" ht="12.1" outlineLevel="0" r="93">
      <c r="A93" s="16" t="s">
        <v>278</v>
      </c>
      <c r="B93" s="16" t="s">
        <v>85</v>
      </c>
      <c r="C93" s="16" t="s">
        <v>279</v>
      </c>
      <c r="D93" s="16" t="s">
        <v>19</v>
      </c>
      <c r="E93" s="7" t="n">
        <v>1</v>
      </c>
      <c r="F93" s="6" t="n">
        <v>97.76</v>
      </c>
      <c r="G93" s="17" t="n">
        <v>1000</v>
      </c>
      <c r="H93" s="6" t="n">
        <v>11.7</v>
      </c>
      <c r="I93" s="16" t="s">
        <v>280</v>
      </c>
      <c r="J93" s="6" t="s">
        <f>=E93*((F93/100*G93)*Портфель!$Q$13 + H93*Портфель!$Q$13) </f>
      </c>
      <c r="K93" s="9" t="n">
        <v>0.1905</v>
      </c>
      <c r="L93" s="6" t="n">
        <v>1022.03</v>
      </c>
      <c r="M93" s="17" t="n">
        <v>0.16</v>
      </c>
      <c r="N93" s="16"/>
      <c r="O93" s="16"/>
      <c r="P93" s="17"/>
      <c r="Q93" s="17"/>
    </row>
    <row collapsed="false" customFormat="false" customHeight="false" hidden="false" ht="12.1" outlineLevel="0" r="94">
      <c r="A94" s="16" t="s">
        <v>281</v>
      </c>
      <c r="B94" s="16" t="s">
        <v>85</v>
      </c>
      <c r="C94" s="16" t="s">
        <v>282</v>
      </c>
      <c r="D94" s="16" t="s">
        <v>19</v>
      </c>
      <c r="E94" s="7" t="n">
        <v>1</v>
      </c>
      <c r="F94" s="6" t="n">
        <v>98.38</v>
      </c>
      <c r="G94" s="17" t="n">
        <v>1000</v>
      </c>
      <c r="H94" s="6" t="n">
        <v>32.79</v>
      </c>
      <c r="I94" s="16" t="s">
        <v>283</v>
      </c>
      <c r="J94" s="6" t="s">
        <f>=E94*((F94/100*G94)*Портфель!$Q$13 + H94*Портфель!$Q$13) </f>
      </c>
      <c r="K94" s="9" t="n">
        <v>0.2197</v>
      </c>
      <c r="L94" s="6" t="n">
        <v>912.58</v>
      </c>
      <c r="M94" s="17" t="n">
        <v>0.16</v>
      </c>
      <c r="N94" s="16"/>
      <c r="O94" s="16"/>
      <c r="P94" s="17"/>
      <c r="Q94" s="17"/>
    </row>
    <row collapsed="false" customFormat="false" customHeight="false" hidden="false" ht="12.1" outlineLevel="0" r="95">
      <c r="A95" s="16" t="s">
        <v>284</v>
      </c>
      <c r="B95" s="16" t="s">
        <v>85</v>
      </c>
      <c r="C95" s="16" t="s">
        <v>285</v>
      </c>
      <c r="D95" s="16" t="s">
        <v>19</v>
      </c>
      <c r="E95" s="7" t="n">
        <v>1</v>
      </c>
      <c r="F95" s="6" t="n">
        <v>97.59</v>
      </c>
      <c r="G95" s="17" t="n">
        <v>1000</v>
      </c>
      <c r="H95" s="6" t="n">
        <v>38.37</v>
      </c>
      <c r="I95" s="16" t="s">
        <v>286</v>
      </c>
      <c r="J95" s="6" t="s">
        <f>=E95*((F95/100*G95)*Портфель!$Q$13 + H95*Портфель!$Q$13) </f>
      </c>
      <c r="K95" s="9" t="n">
        <v>0.2549</v>
      </c>
      <c r="L95" s="6" t="n">
        <v>916.86</v>
      </c>
      <c r="M95" s="17" t="n">
        <v>0.16</v>
      </c>
      <c r="N95" s="16"/>
      <c r="O95" s="16"/>
      <c r="P95" s="17"/>
      <c r="Q95" s="17"/>
    </row>
    <row collapsed="false" customFormat="false" customHeight="false" hidden="false" ht="12.1" outlineLevel="0" r="96">
      <c r="A96" s="16" t="s">
        <v>287</v>
      </c>
      <c r="B96" s="16" t="s">
        <v>85</v>
      </c>
      <c r="C96" s="16" t="s">
        <v>288</v>
      </c>
      <c r="D96" s="16" t="s">
        <v>19</v>
      </c>
      <c r="E96" s="7" t="n">
        <v>1</v>
      </c>
      <c r="F96" s="6" t="n">
        <v>96.14</v>
      </c>
      <c r="G96" s="17" t="n">
        <v>1000</v>
      </c>
      <c r="H96" s="6" t="n">
        <v>8.58</v>
      </c>
      <c r="I96" s="16" t="s">
        <v>289</v>
      </c>
      <c r="J96" s="6" t="s">
        <f>=E96*((F96/100*G96)*Портфель!$Q$13 + H96*Портфель!$Q$13) </f>
      </c>
      <c r="K96" s="9" t="n">
        <v>0.0946</v>
      </c>
      <c r="L96" s="6" t="n">
        <v>988.22</v>
      </c>
      <c r="M96" s="17" t="n">
        <v>0.15</v>
      </c>
      <c r="N96" s="16"/>
      <c r="O96" s="16"/>
      <c r="P96" s="17"/>
      <c r="Q96" s="17"/>
    </row>
    <row collapsed="false" customFormat="false" customHeight="false" hidden="false" ht="12.1" outlineLevel="0" r="97">
      <c r="A97" s="16" t="s">
        <v>290</v>
      </c>
      <c r="B97" s="16" t="s">
        <v>85</v>
      </c>
      <c r="C97" s="16" t="s">
        <v>291</v>
      </c>
      <c r="D97" s="16" t="s">
        <v>19</v>
      </c>
      <c r="E97" s="7" t="n">
        <v>1</v>
      </c>
      <c r="F97" s="6" t="n">
        <v>93.13</v>
      </c>
      <c r="G97" s="17" t="n">
        <v>1000</v>
      </c>
      <c r="H97" s="6" t="n">
        <v>9.3</v>
      </c>
      <c r="I97" s="16" t="s">
        <v>292</v>
      </c>
      <c r="J97" s="6" t="s">
        <f>=E97*((F97/100*G97)*Портфель!$Q$13 + H97*Портфель!$Q$13) </f>
      </c>
      <c r="K97" s="9" t="n">
        <v>0.0941</v>
      </c>
      <c r="L97" s="6" t="n">
        <v>1028.37</v>
      </c>
      <c r="M97" s="17" t="n">
        <v>0.15</v>
      </c>
      <c r="N97" s="16"/>
      <c r="O97" s="16"/>
      <c r="P97" s="17"/>
      <c r="Q97" s="17"/>
    </row>
    <row collapsed="false" customFormat="false" customHeight="false" hidden="false" ht="12.1" outlineLevel="0" r="98">
      <c r="A98" s="16" t="s">
        <v>293</v>
      </c>
      <c r="B98" s="16" t="s">
        <v>85</v>
      </c>
      <c r="C98" s="16" t="s">
        <v>294</v>
      </c>
      <c r="D98" s="16" t="s">
        <v>19</v>
      </c>
      <c r="E98" s="7" t="n">
        <v>1</v>
      </c>
      <c r="F98" s="6" t="n">
        <v>95.7</v>
      </c>
      <c r="G98" s="17" t="n">
        <v>1000</v>
      </c>
      <c r="H98" s="6" t="n">
        <v>12.3</v>
      </c>
      <c r="I98" s="16" t="s">
        <v>295</v>
      </c>
      <c r="J98" s="6" t="s">
        <f>=E98*((F98/100*G98)*Портфель!$Q$13 + H98*Портфель!$Q$13) </f>
      </c>
      <c r="K98" s="9" t="n">
        <v>0.1876</v>
      </c>
      <c r="L98" s="6" t="n">
        <v>995.2</v>
      </c>
      <c r="M98" s="17" t="n">
        <v>0.15</v>
      </c>
      <c r="N98" s="16"/>
      <c r="O98" s="16"/>
      <c r="P98" s="17"/>
      <c r="Q98" s="17"/>
    </row>
    <row collapsed="false" customFormat="false" customHeight="false" hidden="false" ht="12.1" outlineLevel="0" r="99">
      <c r="A99" s="16" t="s">
        <v>296</v>
      </c>
      <c r="B99" s="16" t="s">
        <v>85</v>
      </c>
      <c r="C99" s="16" t="s">
        <v>297</v>
      </c>
      <c r="D99" s="16" t="s">
        <v>19</v>
      </c>
      <c r="E99" s="7" t="n">
        <v>2</v>
      </c>
      <c r="F99" s="6" t="n">
        <v>92.67</v>
      </c>
      <c r="G99" s="17" t="n">
        <v>500</v>
      </c>
      <c r="H99" s="6" t="n">
        <v>5.61</v>
      </c>
      <c r="I99" s="16" t="s">
        <v>298</v>
      </c>
      <c r="J99" s="6" t="s">
        <f>=E99*((F99/100*G99)*Портфель!$Q$13 + H99*Портфель!$Q$13) </f>
      </c>
      <c r="K99" s="9" t="n">
        <v>0.138</v>
      </c>
      <c r="L99" s="6" t="n">
        <v>906.54</v>
      </c>
      <c r="M99" s="17" t="n">
        <v>0.15</v>
      </c>
      <c r="N99" s="16"/>
      <c r="O99" s="16"/>
      <c r="P99" s="17"/>
      <c r="Q99" s="17"/>
    </row>
    <row collapsed="false" customFormat="false" customHeight="false" hidden="false" ht="12.1" outlineLevel="0" r="100">
      <c r="A100" s="16" t="s">
        <v>299</v>
      </c>
      <c r="B100" s="16" t="s">
        <v>85</v>
      </c>
      <c r="C100" s="16" t="s">
        <v>300</v>
      </c>
      <c r="D100" s="16" t="s">
        <v>19</v>
      </c>
      <c r="E100" s="7" t="n">
        <v>1</v>
      </c>
      <c r="F100" s="6" t="n">
        <v>93.83</v>
      </c>
      <c r="G100" s="17" t="n">
        <v>1000</v>
      </c>
      <c r="H100" s="6" t="n">
        <v>7.08</v>
      </c>
      <c r="I100" s="16" t="s">
        <v>301</v>
      </c>
      <c r="J100" s="6" t="s">
        <f>=E100*((F100/100*G100)*Портфель!$Q$13 + H100*Портфель!$Q$13) </f>
      </c>
      <c r="K100" s="9" t="n">
        <v>0.2543</v>
      </c>
      <c r="L100" s="6" t="n">
        <v>798.02</v>
      </c>
      <c r="M100" s="17" t="n">
        <v>0.15</v>
      </c>
      <c r="N100" s="16"/>
      <c r="O100" s="16"/>
      <c r="P100" s="17"/>
      <c r="Q100" s="17"/>
    </row>
    <row collapsed="false" customFormat="false" customHeight="false" hidden="false" ht="12.1" outlineLevel="0" r="101">
      <c r="A101" s="16" t="s">
        <v>302</v>
      </c>
      <c r="B101" s="16" t="s">
        <v>85</v>
      </c>
      <c r="C101" s="16" t="s">
        <v>303</v>
      </c>
      <c r="D101" s="16" t="s">
        <v>19</v>
      </c>
      <c r="E101" s="7" t="n">
        <v>1</v>
      </c>
      <c r="F101" s="6" t="n">
        <v>94.82</v>
      </c>
      <c r="G101" s="17" t="n">
        <v>1000</v>
      </c>
      <c r="H101" s="6" t="n">
        <v>11.74</v>
      </c>
      <c r="I101" s="16" t="s">
        <v>304</v>
      </c>
      <c r="J101" s="6" t="s">
        <f>=E101*((F101/100*G101)*Портфель!$Q$13 + H101*Портфель!$Q$13) </f>
      </c>
      <c r="K101" s="9" t="n">
        <v>0.2441</v>
      </c>
      <c r="L101" s="6" t="n">
        <v>861.06</v>
      </c>
      <c r="M101" s="17" t="n">
        <v>0.15</v>
      </c>
      <c r="N101" s="16"/>
      <c r="O101" s="16"/>
      <c r="P101" s="17"/>
      <c r="Q101" s="17"/>
    </row>
    <row collapsed="false" customFormat="false" customHeight="false" hidden="false" ht="12.1" outlineLevel="0" r="102">
      <c r="A102" s="16" t="s">
        <v>305</v>
      </c>
      <c r="B102" s="16" t="s">
        <v>85</v>
      </c>
      <c r="C102" s="16" t="s">
        <v>306</v>
      </c>
      <c r="D102" s="16" t="s">
        <v>19</v>
      </c>
      <c r="E102" s="7" t="n">
        <v>1</v>
      </c>
      <c r="F102" s="6" t="n">
        <v>91.3</v>
      </c>
      <c r="G102" s="17" t="n">
        <v>1000</v>
      </c>
      <c r="H102" s="6" t="n">
        <v>12.37</v>
      </c>
      <c r="I102" s="16" t="s">
        <v>307</v>
      </c>
      <c r="J102" s="6" t="s">
        <f>=E102*((F102/100*G102)*Портфель!$Q$13 + H102*Портфель!$Q$13) </f>
      </c>
      <c r="K102" s="9" t="n">
        <v>0.2233</v>
      </c>
      <c r="L102" s="6" t="n">
        <v>823.95</v>
      </c>
      <c r="M102" s="17" t="n">
        <v>0.15</v>
      </c>
      <c r="N102" s="16"/>
      <c r="O102" s="16"/>
      <c r="P102" s="17"/>
      <c r="Q102" s="17"/>
    </row>
    <row collapsed="false" customFormat="false" customHeight="false" hidden="false" ht="12.1" outlineLevel="0" r="103">
      <c r="A103" s="16" t="s">
        <v>308</v>
      </c>
      <c r="B103" s="16" t="s">
        <v>85</v>
      </c>
      <c r="C103" s="16" t="s">
        <v>309</v>
      </c>
      <c r="D103" s="16" t="s">
        <v>19</v>
      </c>
      <c r="E103" s="7" t="n">
        <v>1</v>
      </c>
      <c r="F103" s="6" t="n">
        <v>93.78</v>
      </c>
      <c r="G103" s="17" t="n">
        <v>1000</v>
      </c>
      <c r="H103" s="6" t="n">
        <v>26.55</v>
      </c>
      <c r="I103" s="16" t="s">
        <v>310</v>
      </c>
      <c r="J103" s="6" t="s">
        <f>=E103*((F103/100*G103)*Портфель!$Q$13 + H103*Портфель!$Q$13) </f>
      </c>
      <c r="K103" s="9" t="n">
        <v>0.2271</v>
      </c>
      <c r="L103" s="6" t="n">
        <v>860.66</v>
      </c>
      <c r="M103" s="17" t="n">
        <v>0.15</v>
      </c>
      <c r="N103" s="16"/>
      <c r="O103" s="16"/>
      <c r="P103" s="17"/>
      <c r="Q103" s="17"/>
    </row>
    <row collapsed="false" customFormat="false" customHeight="false" hidden="false" ht="12.1" outlineLevel="0" r="104">
      <c r="A104" s="16" t="s">
        <v>311</v>
      </c>
      <c r="B104" s="16" t="s">
        <v>85</v>
      </c>
      <c r="C104" s="16" t="s">
        <v>312</v>
      </c>
      <c r="D104" s="16" t="s">
        <v>19</v>
      </c>
      <c r="E104" s="7" t="n">
        <v>1</v>
      </c>
      <c r="F104" s="6" t="n">
        <v>94.72</v>
      </c>
      <c r="G104" s="17" t="n">
        <v>1000</v>
      </c>
      <c r="H104" s="6" t="n">
        <v>7.59</v>
      </c>
      <c r="I104" s="16" t="s">
        <v>313</v>
      </c>
      <c r="J104" s="6" t="s">
        <f>=E104*((F104/100*G104)*Портфель!$Q$13 + H104*Портфель!$Q$13) </f>
      </c>
      <c r="K104" s="9" t="n">
        <v>0.0816</v>
      </c>
      <c r="L104" s="6" t="n">
        <v>1069.62</v>
      </c>
      <c r="M104" s="17" t="n">
        <v>0.15</v>
      </c>
      <c r="N104" s="16"/>
      <c r="O104" s="16"/>
      <c r="P104" s="17"/>
      <c r="Q104" s="17"/>
    </row>
    <row collapsed="false" customFormat="false" customHeight="false" hidden="false" ht="12.1" outlineLevel="0" r="105">
      <c r="A105" s="16" t="s">
        <v>314</v>
      </c>
      <c r="B105" s="16" t="s">
        <v>85</v>
      </c>
      <c r="C105" s="16" t="s">
        <v>315</v>
      </c>
      <c r="D105" s="16" t="s">
        <v>19</v>
      </c>
      <c r="E105" s="7" t="n">
        <v>1</v>
      </c>
      <c r="F105" s="6" t="n">
        <v>91.99</v>
      </c>
      <c r="G105" s="17" t="n">
        <v>1000</v>
      </c>
      <c r="H105" s="6" t="n">
        <v>24.55</v>
      </c>
      <c r="I105" s="16" t="s">
        <v>316</v>
      </c>
      <c r="J105" s="6" t="s">
        <f>=E105*((F105/100*G105)*Портфель!$Q$13 + H105*Портфель!$Q$13) </f>
      </c>
      <c r="K105" s="9" t="n">
        <v>0.2423</v>
      </c>
      <c r="L105" s="6" t="n">
        <v>831.81</v>
      </c>
      <c r="M105" s="17" t="n">
        <v>0.15</v>
      </c>
      <c r="N105" s="16"/>
      <c r="O105" s="16"/>
      <c r="P105" s="17"/>
      <c r="Q105" s="17"/>
    </row>
    <row collapsed="false" customFormat="false" customHeight="false" hidden="false" ht="12.1" outlineLevel="0" r="106">
      <c r="A106" s="16" t="s">
        <v>317</v>
      </c>
      <c r="B106" s="16" t="s">
        <v>85</v>
      </c>
      <c r="C106" s="16" t="s">
        <v>318</v>
      </c>
      <c r="D106" s="16" t="s">
        <v>19</v>
      </c>
      <c r="E106" s="7" t="n">
        <v>1</v>
      </c>
      <c r="F106" s="6" t="n">
        <v>96.48</v>
      </c>
      <c r="G106" s="17" t="n">
        <v>1000</v>
      </c>
      <c r="H106" s="6" t="n">
        <v>3.22</v>
      </c>
      <c r="I106" s="16" t="s">
        <v>319</v>
      </c>
      <c r="J106" s="6" t="s">
        <f>=E106*((F106/100*G106)*Портфель!$Q$13 + H106*Портфель!$Q$13) </f>
      </c>
      <c r="K106" s="9" t="n">
        <v>0.2298</v>
      </c>
      <c r="L106" s="6" t="n">
        <v>957.5</v>
      </c>
      <c r="M106" s="17" t="n">
        <v>0.15</v>
      </c>
      <c r="N106" s="16"/>
      <c r="O106" s="16"/>
      <c r="P106" s="17"/>
      <c r="Q106" s="17"/>
    </row>
    <row collapsed="false" customFormat="false" customHeight="false" hidden="false" ht="12.1" outlineLevel="0" r="107">
      <c r="A107" s="16" t="s">
        <v>320</v>
      </c>
      <c r="B107" s="16" t="s">
        <v>85</v>
      </c>
      <c r="C107" s="16" t="s">
        <v>321</v>
      </c>
      <c r="D107" s="16" t="s">
        <v>19</v>
      </c>
      <c r="E107" s="7" t="n">
        <v>1</v>
      </c>
      <c r="F107" s="6" t="n">
        <v>89.73</v>
      </c>
      <c r="G107" s="17" t="n">
        <v>1000</v>
      </c>
      <c r="H107" s="6" t="n">
        <v>18.26</v>
      </c>
      <c r="I107" s="16" t="s">
        <v>322</v>
      </c>
      <c r="J107" s="6" t="s">
        <f>=E107*((F107/100*G107)*Портфель!$Q$13 + H107*Портфель!$Q$13) </f>
      </c>
      <c r="K107" s="9" t="n">
        <v>0.2564</v>
      </c>
      <c r="L107" s="6" t="n">
        <v>737.17</v>
      </c>
      <c r="M107" s="17" t="n">
        <v>0.15</v>
      </c>
      <c r="N107" s="16"/>
      <c r="O107" s="16"/>
      <c r="P107" s="17"/>
      <c r="Q107" s="17"/>
    </row>
    <row collapsed="false" customFormat="false" customHeight="false" hidden="false" ht="12.1" outlineLevel="0" r="108">
      <c r="A108" s="16" t="s">
        <v>323</v>
      </c>
      <c r="B108" s="16" t="s">
        <v>85</v>
      </c>
      <c r="C108" s="16" t="s">
        <v>324</v>
      </c>
      <c r="D108" s="16" t="s">
        <v>19</v>
      </c>
      <c r="E108" s="7" t="n">
        <v>1</v>
      </c>
      <c r="F108" s="6" t="n">
        <v>88.58</v>
      </c>
      <c r="G108" s="17" t="n">
        <v>1000</v>
      </c>
      <c r="H108" s="6" t="n">
        <v>3.35</v>
      </c>
      <c r="I108" s="16" t="s">
        <v>325</v>
      </c>
      <c r="J108" s="6" t="s">
        <f>=E108*((F108/100*G108)*Портфель!$Q$13 + H108*Портфель!$Q$13) </f>
      </c>
      <c r="K108" s="9" t="n">
        <v>0.1761</v>
      </c>
      <c r="L108" s="6" t="n">
        <v>878.93</v>
      </c>
      <c r="M108" s="17" t="n">
        <v>0.14</v>
      </c>
      <c r="N108" s="16"/>
      <c r="O108" s="16"/>
      <c r="P108" s="17"/>
      <c r="Q108" s="17"/>
    </row>
    <row collapsed="false" customFormat="false" customHeight="false" hidden="false" ht="12.1" outlineLevel="0" r="109">
      <c r="A109" s="16" t="s">
        <v>326</v>
      </c>
      <c r="B109" s="16" t="s">
        <v>85</v>
      </c>
      <c r="C109" s="16" t="s">
        <v>327</v>
      </c>
      <c r="D109" s="16" t="s">
        <v>19</v>
      </c>
      <c r="E109" s="7" t="n">
        <v>1</v>
      </c>
      <c r="F109" s="6" t="n">
        <v>89.28</v>
      </c>
      <c r="G109" s="17" t="n">
        <v>1000</v>
      </c>
      <c r="H109" s="6" t="n">
        <v>12.82</v>
      </c>
      <c r="I109" s="16" t="s">
        <v>328</v>
      </c>
      <c r="J109" s="6" t="s">
        <f>=E109*((F109/100*G109)*Портфель!$Q$13 + H109*Портфель!$Q$13) </f>
      </c>
      <c r="K109" s="9" t="n">
        <v>0.0501</v>
      </c>
      <c r="L109" s="6" t="n">
        <v>944.09</v>
      </c>
      <c r="M109" s="17" t="n">
        <v>0.14</v>
      </c>
      <c r="N109" s="16"/>
      <c r="O109" s="16"/>
      <c r="P109" s="17"/>
      <c r="Q109" s="17"/>
    </row>
    <row collapsed="false" customFormat="false" customHeight="false" hidden="false" ht="12.1" outlineLevel="0" r="110">
      <c r="A110" s="16" t="s">
        <v>329</v>
      </c>
      <c r="B110" s="16" t="s">
        <v>85</v>
      </c>
      <c r="C110" s="16" t="s">
        <v>330</v>
      </c>
      <c r="D110" s="16" t="s">
        <v>19</v>
      </c>
      <c r="E110" s="7" t="n">
        <v>1</v>
      </c>
      <c r="F110" s="6" t="n">
        <v>85.11</v>
      </c>
      <c r="G110" s="17" t="n">
        <v>1000</v>
      </c>
      <c r="H110" s="6" t="n">
        <v>18.56</v>
      </c>
      <c r="I110" s="16" t="s">
        <v>322</v>
      </c>
      <c r="J110" s="6" t="s">
        <f>=E110*((F110/100*G110)*Портфель!$Q$13 + H110*Портфель!$Q$13) </f>
      </c>
      <c r="K110" s="9" t="n">
        <v>0.0752</v>
      </c>
      <c r="L110" s="6" t="n">
        <v>913.22</v>
      </c>
      <c r="M110" s="17" t="n">
        <v>0.14</v>
      </c>
      <c r="N110" s="16"/>
      <c r="O110" s="16"/>
      <c r="P110" s="17"/>
      <c r="Q110" s="17"/>
    </row>
    <row collapsed="false" customFormat="false" customHeight="false" hidden="false" ht="12.1" outlineLevel="0" r="111">
      <c r="A111" s="16" t="s">
        <v>331</v>
      </c>
      <c r="B111" s="16" t="s">
        <v>85</v>
      </c>
      <c r="C111" s="16" t="s">
        <v>332</v>
      </c>
      <c r="D111" s="16" t="s">
        <v>19</v>
      </c>
      <c r="E111" s="7" t="n">
        <v>1</v>
      </c>
      <c r="F111" s="6" t="n">
        <v>89.35</v>
      </c>
      <c r="G111" s="17" t="n">
        <v>250</v>
      </c>
      <c r="H111" s="6" t="n">
        <v>0.33</v>
      </c>
      <c r="I111" s="16" t="s">
        <v>333</v>
      </c>
      <c r="J111" s="6" t="s">
        <f>=E111*((F111/100*G111)*Портфель!$Q$13 + H111*Портфель!$Q$13) </f>
      </c>
      <c r="K111" s="9" t="n">
        <v>0.1099</v>
      </c>
      <c r="L111" s="6" t="n">
        <v>566.27</v>
      </c>
      <c r="M111" s="17" t="n">
        <v>0.04</v>
      </c>
      <c r="N111" s="16"/>
      <c r="O111" s="16"/>
      <c r="P111" s="17"/>
      <c r="Q111" s="17"/>
    </row>
    <row collapsed="false" customFormat="false" customHeight="false" hidden="false" ht="12.1" outlineLevel="0" r="112">
      <c r="A112" s="16" t="s">
        <v>334</v>
      </c>
      <c r="B112" s="16" t="s">
        <v>85</v>
      </c>
      <c r="C112" s="16" t="s">
        <v>335</v>
      </c>
      <c r="D112" s="16" t="s">
        <v>19</v>
      </c>
      <c r="E112" s="7" t="n">
        <v>1</v>
      </c>
      <c r="F112" s="6" t="n">
        <v>99.52</v>
      </c>
      <c r="G112" s="17" t="n">
        <v>175</v>
      </c>
      <c r="H112" s="6" t="n">
        <v>2.44</v>
      </c>
      <c r="I112" s="16" t="s">
        <v>336</v>
      </c>
      <c r="J112" s="6" t="s">
        <f>=E112*((F112/100*G112)*Портфель!$Q$13 + H112*Портфель!$Q$13) </f>
      </c>
      <c r="K112" s="9" t="n">
        <v>0.1601</v>
      </c>
      <c r="L112" s="6" t="n">
        <v>995.68</v>
      </c>
      <c r="M112" s="17" t="n">
        <v>0.03</v>
      </c>
      <c r="N112" s="16"/>
      <c r="O112" s="16"/>
      <c r="P112" s="17"/>
      <c r="Q112" s="17"/>
    </row>
    <row collapsed="false" customFormat="false" customHeight="false" hidden="false" ht="12.1" outlineLevel="0" r="113">
      <c r="A113" s="16"/>
      <c r="B113" s="16"/>
      <c r="C113" s="16"/>
      <c r="D113" s="16"/>
      <c r="E113" s="7"/>
      <c r="F113" s="6"/>
      <c r="G113" s="4"/>
      <c r="H113" s="4" t="s">
        <v>337</v>
      </c>
      <c r="I113" s="4"/>
      <c r="J113" s="5" t="s">
        <f>=SUM(J28:J112)</f>
      </c>
      <c r="K113" s="4"/>
      <c r="L113" s="4"/>
      <c r="M113" s="10" t="s">
        <f>=J113/J117</f>
      </c>
      <c r="N113" s="16"/>
      <c r="O113" s="16"/>
      <c r="P113" s="17"/>
      <c r="Q113" s="17"/>
    </row>
    <row collapsed="false" customFormat="false" customHeight="false" hidden="false" ht="12.1" outlineLevel="0" r="114">
      <c r="A114" s="16" t="s">
        <v>19</v>
      </c>
      <c r="B114" s="16" t="s">
        <v>3</v>
      </c>
      <c r="C114" s="16" t="s">
        <v>338</v>
      </c>
      <c r="D114" s="16" t="s">
        <v>19</v>
      </c>
      <c r="E114" s="7" t="n">
        <v>2477.91</v>
      </c>
      <c r="F114" s="6" t="n">
        <v>1</v>
      </c>
      <c r="G114" s="17" t="n">
        <v>0</v>
      </c>
      <c r="H114" s="6" t="n">
        <v>0</v>
      </c>
      <c r="I114" s="16"/>
      <c r="J114" s="6" t="s">
        <f>=E114*F114</f>
      </c>
      <c r="K114" s="17"/>
      <c r="L114" s="6"/>
      <c r="M114" s="17"/>
      <c r="N114" s="16"/>
      <c r="O114" s="16"/>
      <c r="P114" s="17"/>
      <c r="Q114" s="17"/>
    </row>
    <row collapsed="false" customFormat="false" customHeight="false" hidden="false" ht="12.1" outlineLevel="0" r="115">
      <c r="A115" s="16" t="s">
        <v>41</v>
      </c>
      <c r="B115" s="16" t="s">
        <v>3</v>
      </c>
      <c r="C115" s="16" t="s">
        <v>339</v>
      </c>
      <c r="D115" s="16" t="s">
        <v>19</v>
      </c>
      <c r="E115" s="7" t="n">
        <v>3</v>
      </c>
      <c r="F115" s="6" t="n">
        <v>12660</v>
      </c>
      <c r="G115" s="17" t="n">
        <v>0</v>
      </c>
      <c r="H115" s="6" t="n">
        <v>0</v>
      </c>
      <c r="I115" s="16"/>
      <c r="J115" s="6" t="s">
        <f>=E115*F115</f>
      </c>
      <c r="K115" s="17"/>
      <c r="L115" s="6"/>
      <c r="M115" s="17"/>
      <c r="N115" s="16"/>
      <c r="O115" s="16"/>
      <c r="P115" s="17"/>
      <c r="Q115" s="17"/>
    </row>
    <row collapsed="false" customFormat="false" customHeight="false" hidden="false" ht="12.1" outlineLevel="0" r="116">
      <c r="A116" s="16"/>
      <c r="B116" s="16"/>
      <c r="C116" s="16"/>
      <c r="D116" s="16"/>
      <c r="E116" s="7"/>
      <c r="F116" s="6"/>
      <c r="G116" s="4"/>
      <c r="H116" s="4" t="s">
        <v>340</v>
      </c>
      <c r="I116" s="4"/>
      <c r="J116" s="5" t="s">
        <f>=SUM(J114:J115)</f>
      </c>
      <c r="K116" s="4"/>
      <c r="L116" s="4"/>
      <c r="M116" s="10" t="s">
        <f>=J116/J117</f>
      </c>
      <c r="N116" s="16"/>
      <c r="O116" s="16"/>
      <c r="P116" s="17"/>
      <c r="Q116" s="17"/>
    </row>
    <row collapsed="false" customFormat="false" customHeight="false" hidden="false" ht="12.1" outlineLevel="0" r="117">
      <c r="A117" s="16"/>
      <c r="B117" s="16"/>
      <c r="C117" s="16"/>
      <c r="D117" s="16"/>
      <c r="E117" s="7"/>
      <c r="F117" s="6"/>
      <c r="G117" s="4"/>
      <c r="H117" s="4" t="s">
        <v>341</v>
      </c>
      <c r="I117" s="4"/>
      <c r="J117" s="5" t="s">
        <f>=J27+J113+J116</f>
      </c>
      <c r="K117" s="17"/>
      <c r="L117" s="6"/>
      <c r="M117" s="17"/>
      <c r="N117" s="16"/>
      <c r="O117" s="16"/>
      <c r="P117" s="17"/>
      <c r="Q117" s="17"/>
    </row>
  </sheetData>
  <mergeCells>
    <mergeCell ref="H27:I27"/>
    <mergeCell ref="H113:I113"/>
    <mergeCell ref="H116:I11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1403</v>
      </c>
      <c r="D1" s="34" t="s">
        <v>1404</v>
      </c>
      <c r="E1" s="34" t="s">
        <v>1369</v>
      </c>
      <c r="F1" s="34" t="s">
        <v>1405</v>
      </c>
      <c r="G1" s="34" t="s">
        <v>1366</v>
      </c>
      <c r="H1" s="34" t="s">
        <v>1406</v>
      </c>
      <c r="I1" s="34" t="s">
        <v>1407</v>
      </c>
      <c r="J1" s="34" t="s">
        <v>1408</v>
      </c>
      <c r="K1" s="34" t="s">
        <v>1409</v>
      </c>
    </row>
    <row collapsed="false" customFormat="false" customHeight="false" hidden="false" ht="12.1" outlineLevel="0" r="2">
      <c r="A2" s="16" t="s">
        <v>915</v>
      </c>
      <c r="B2" s="16" t="s">
        <v>1382</v>
      </c>
      <c r="C2" s="37" t="n">
        <v>44692</v>
      </c>
      <c r="D2" s="38" t="n">
        <v>45405</v>
      </c>
      <c r="E2" s="17" t="n">
        <v>1010.1</v>
      </c>
      <c r="F2" s="17" t="n">
        <v>1000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916</v>
      </c>
      <c r="B3" s="16" t="s">
        <v>1383</v>
      </c>
      <c r="C3" s="37" t="n">
        <v>44693</v>
      </c>
      <c r="D3" s="38" t="n">
        <v>45777</v>
      </c>
      <c r="E3" s="17" t="n">
        <v>877.98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917</v>
      </c>
      <c r="B4" s="16" t="s">
        <v>1380</v>
      </c>
      <c r="C4" s="37" t="n">
        <v>44694</v>
      </c>
      <c r="D4" s="38" t="n">
        <v>45524</v>
      </c>
      <c r="E4" s="17" t="n">
        <v>737.63</v>
      </c>
      <c r="F4" s="17" t="n">
        <v>250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918</v>
      </c>
      <c r="B5" s="16" t="s">
        <v>1381</v>
      </c>
      <c r="C5" s="37" t="n">
        <v>44694</v>
      </c>
      <c r="D5" s="38" t="n">
        <v>45840</v>
      </c>
      <c r="E5" s="17" t="n">
        <v>842.45</v>
      </c>
      <c r="F5" s="17" t="n">
        <v>200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919</v>
      </c>
      <c r="B6" s="16" t="s">
        <v>1410</v>
      </c>
      <c r="C6" s="37" t="n">
        <v>44708</v>
      </c>
      <c r="D6" s="38" t="n">
        <v>45597</v>
      </c>
      <c r="E6" s="17" t="n">
        <v>396.69</v>
      </c>
      <c r="F6" s="17" t="n">
        <v>520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919</v>
      </c>
      <c r="B7" s="16" t="s">
        <v>1410</v>
      </c>
      <c r="C7" s="37" t="n">
        <v>44746</v>
      </c>
      <c r="D7" s="38" t="n">
        <v>45597</v>
      </c>
      <c r="E7" s="17" t="n">
        <v>314.44</v>
      </c>
      <c r="F7" s="17" t="n">
        <v>520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920</v>
      </c>
      <c r="B8" s="16" t="s">
        <v>1411</v>
      </c>
      <c r="C8" s="37" t="n">
        <v>44750</v>
      </c>
      <c r="D8" s="38" t="n">
        <v>45301</v>
      </c>
      <c r="E8" s="17" t="n">
        <v>313.34</v>
      </c>
      <c r="F8" s="17" t="n">
        <v>313.56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921</v>
      </c>
      <c r="B9" s="16" t="s">
        <v>1376</v>
      </c>
      <c r="C9" s="37" t="n">
        <v>44858</v>
      </c>
      <c r="D9" s="38" t="n">
        <v>45927</v>
      </c>
      <c r="E9" s="17" t="n">
        <v>0.7457</v>
      </c>
      <c r="F9" s="17" t="n">
        <v>0.4279</v>
      </c>
      <c r="G9" s="17" t="n">
        <v>1000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921</v>
      </c>
      <c r="B10" s="16" t="s">
        <v>1376</v>
      </c>
      <c r="C10" s="37" t="n">
        <v>45506</v>
      </c>
      <c r="D10" s="38" t="n">
        <v>45927</v>
      </c>
      <c r="E10" s="17" t="n">
        <v>0.5989</v>
      </c>
      <c r="F10" s="17" t="n">
        <v>0.4279</v>
      </c>
      <c r="G10" s="17" t="n">
        <v>1000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922</v>
      </c>
      <c r="B11" s="16" t="s">
        <v>1384</v>
      </c>
      <c r="C11" s="37" t="n">
        <v>44903</v>
      </c>
      <c r="D11" s="38" t="n">
        <v>45685</v>
      </c>
      <c r="E11" s="17" t="n">
        <v>1075.65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923</v>
      </c>
      <c r="B12" s="16" t="s">
        <v>1385</v>
      </c>
      <c r="C12" s="37" t="n">
        <v>45056</v>
      </c>
      <c r="D12" s="38" t="n">
        <v>45795</v>
      </c>
      <c r="E12" s="17" t="n">
        <v>1001.3</v>
      </c>
      <c r="F12" s="17" t="n">
        <v>200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923</v>
      </c>
      <c r="B13" s="16" t="s">
        <v>1385</v>
      </c>
      <c r="C13" s="37" t="n">
        <v>45114</v>
      </c>
      <c r="D13" s="38" t="n">
        <v>45795</v>
      </c>
      <c r="E13" s="17" t="n">
        <v>989.86</v>
      </c>
      <c r="F13" s="17" t="n">
        <v>200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924</v>
      </c>
      <c r="B14" s="16" t="s">
        <v>1386</v>
      </c>
      <c r="C14" s="37" t="n">
        <v>45082</v>
      </c>
      <c r="D14" s="38" t="n">
        <v>45993</v>
      </c>
      <c r="E14" s="17" t="n">
        <v>955.14</v>
      </c>
      <c r="F14" s="17" t="n">
        <v>1000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924</v>
      </c>
      <c r="B15" s="16" t="s">
        <v>1386</v>
      </c>
      <c r="C15" s="37" t="n">
        <v>45267</v>
      </c>
      <c r="D15" s="38" t="n">
        <v>45993</v>
      </c>
      <c r="E15" s="17" t="n">
        <v>880.79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925</v>
      </c>
      <c r="B16" s="16" t="s">
        <v>1388</v>
      </c>
      <c r="C16" s="37" t="n">
        <v>45082</v>
      </c>
      <c r="D16" s="38" t="n">
        <v>46065</v>
      </c>
      <c r="E16" s="17" t="n">
        <v>1033.91</v>
      </c>
      <c r="F16" s="17" t="n">
        <v>1000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926</v>
      </c>
      <c r="B17" s="16" t="s">
        <v>1387</v>
      </c>
      <c r="C17" s="37" t="n">
        <v>45082</v>
      </c>
      <c r="D17" s="38" t="n">
        <v>45999</v>
      </c>
      <c r="E17" s="17" t="n">
        <v>901.24</v>
      </c>
      <c r="F17" s="17" t="n">
        <v>860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927</v>
      </c>
      <c r="B18" s="16" t="s">
        <v>1412</v>
      </c>
      <c r="C18" s="37" t="n">
        <v>45104</v>
      </c>
      <c r="D18" s="38" t="n">
        <v>45927</v>
      </c>
      <c r="E18" s="17" t="n">
        <v>0.1004</v>
      </c>
      <c r="F18" s="17" t="n">
        <v>0.0654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927</v>
      </c>
      <c r="B19" s="16" t="s">
        <v>1412</v>
      </c>
      <c r="C19" s="37" t="n">
        <v>45356</v>
      </c>
      <c r="D19" s="38" t="n">
        <v>45927</v>
      </c>
      <c r="E19" s="17" t="n">
        <v>0.1236</v>
      </c>
      <c r="F19" s="17" t="n">
        <v>0.0654</v>
      </c>
      <c r="G19" s="17" t="n">
        <v>10000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928</v>
      </c>
      <c r="B20" s="16" t="s">
        <v>1413</v>
      </c>
      <c r="C20" s="37" t="n">
        <v>45124</v>
      </c>
      <c r="D20" s="38" t="n">
        <v>45729</v>
      </c>
      <c r="E20" s="17" t="n">
        <v>6.1865</v>
      </c>
      <c r="F20" s="17" t="n">
        <v>1.7228</v>
      </c>
      <c r="G20" s="17" t="n">
        <v>100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929</v>
      </c>
      <c r="B21" s="16" t="s">
        <v>1391</v>
      </c>
      <c r="C21" s="37" t="n">
        <v>45147</v>
      </c>
      <c r="D21" s="38" t="n">
        <v>45498</v>
      </c>
      <c r="E21" s="17" t="n">
        <v>985.31</v>
      </c>
      <c r="F21" s="17" t="n">
        <v>1000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930</v>
      </c>
      <c r="B22" s="16" t="s">
        <v>1389</v>
      </c>
      <c r="C22" s="37" t="n">
        <v>45147</v>
      </c>
      <c r="D22" s="38" t="n">
        <v>45740</v>
      </c>
      <c r="E22" s="17" t="n">
        <v>827.99</v>
      </c>
      <c r="F22" s="17" t="n">
        <v>150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931</v>
      </c>
      <c r="B23" s="16" t="s">
        <v>1390</v>
      </c>
      <c r="C23" s="37" t="n">
        <v>45155</v>
      </c>
      <c r="D23" s="38" t="n">
        <v>45853</v>
      </c>
      <c r="E23" s="17" t="n">
        <v>907.905</v>
      </c>
      <c r="F23" s="17" t="n">
        <v>1000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932</v>
      </c>
      <c r="B24" s="16" t="s">
        <v>1414</v>
      </c>
      <c r="C24" s="37" t="n">
        <v>45244</v>
      </c>
      <c r="D24" s="38" t="n">
        <v>45988</v>
      </c>
      <c r="E24" s="17" t="n">
        <v>2.2377</v>
      </c>
      <c r="F24" s="17" t="n">
        <v>1.4716</v>
      </c>
      <c r="G24" s="17" t="n">
        <v>1000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933</v>
      </c>
      <c r="B25" s="16" t="s">
        <v>1378</v>
      </c>
      <c r="C25" s="37" t="n">
        <v>45324</v>
      </c>
      <c r="D25" s="38" t="n">
        <v>45988</v>
      </c>
      <c r="E25" s="17" t="n">
        <v>142.115</v>
      </c>
      <c r="F25" s="17" t="n">
        <v>76.8985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933</v>
      </c>
      <c r="B26" s="16" t="s">
        <v>1378</v>
      </c>
      <c r="C26" s="37" t="n">
        <v>45541</v>
      </c>
      <c r="D26" s="38" t="n">
        <v>45988</v>
      </c>
      <c r="E26" s="17" t="n">
        <v>90.32</v>
      </c>
      <c r="F26" s="17" t="n">
        <v>76.8985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934</v>
      </c>
      <c r="B27" s="16" t="s">
        <v>1392</v>
      </c>
      <c r="C27" s="37" t="n">
        <v>45356</v>
      </c>
      <c r="D27" s="38" t="n">
        <v>45812</v>
      </c>
      <c r="E27" s="17" t="n">
        <v>587.34</v>
      </c>
      <c r="F27" s="17" t="n">
        <v>263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935</v>
      </c>
      <c r="B28" s="16" t="s">
        <v>1393</v>
      </c>
      <c r="C28" s="37" t="n">
        <v>45356</v>
      </c>
      <c r="D28" s="38" t="n">
        <v>45972</v>
      </c>
      <c r="E28" s="17" t="n">
        <v>264.52</v>
      </c>
      <c r="F28" s="17" t="n">
        <v>300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936</v>
      </c>
      <c r="B29" s="16" t="s">
        <v>1377</v>
      </c>
      <c r="C29" s="37" t="n">
        <v>45471</v>
      </c>
      <c r="D29" s="38" t="n">
        <v>45988</v>
      </c>
      <c r="E29" s="17" t="n">
        <v>3.1389</v>
      </c>
      <c r="F29" s="17" t="n">
        <v>1.9357</v>
      </c>
      <c r="G29" s="17" t="n">
        <v>1000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937</v>
      </c>
      <c r="B30" s="16" t="s">
        <v>1415</v>
      </c>
      <c r="C30" s="37" t="n">
        <v>45597</v>
      </c>
      <c r="D30" s="38" t="n">
        <v>45988</v>
      </c>
      <c r="E30" s="17" t="n">
        <v>284.651</v>
      </c>
      <c r="F30" s="17" t="n">
        <v>268.293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342</v>
      </c>
      <c r="B1" s="18" t="s">
        <v>9</v>
      </c>
      <c r="C1" s="18" t="s">
        <v>343</v>
      </c>
      <c r="D1" s="18" t="s">
        <v>344</v>
      </c>
      <c r="E1" s="18" t="s">
        <v>345</v>
      </c>
      <c r="F1" s="18" t="s">
        <v>346</v>
      </c>
      <c r="G1" s="18" t="s">
        <v>347</v>
      </c>
      <c r="H1" s="18" t="s">
        <v>348</v>
      </c>
      <c r="I1" s="18" t="s">
        <v>349</v>
      </c>
    </row>
    <row collapsed="false" customFormat="false" customHeight="false" hidden="false" ht="12.1" outlineLevel="0" r="2">
      <c r="A2" s="13" t="n">
        <v>44692</v>
      </c>
      <c r="B2" s="6" t="n">
        <v>200</v>
      </c>
      <c r="C2" s="6" t="n">
        <v>200</v>
      </c>
      <c r="D2" s="16" t="s">
        <v>350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44692.434421296</v>
      </c>
      <c r="B3" s="6" t="n">
        <v>1510.65</v>
      </c>
      <c r="C3" s="6" t="n">
        <v>1510.65</v>
      </c>
      <c r="D3" s="16" t="s">
        <v>350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44693</v>
      </c>
      <c r="B4" s="6" t="n">
        <v>100</v>
      </c>
      <c r="C4" s="6" t="n">
        <v>100</v>
      </c>
      <c r="D4" s="16" t="s">
        <v>350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44693.50037037</v>
      </c>
      <c r="B5" s="6" t="n">
        <v>300</v>
      </c>
      <c r="C5" s="6" t="n">
        <v>300</v>
      </c>
      <c r="D5" s="16" t="s">
        <v>350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44694.718657407</v>
      </c>
      <c r="B6" s="6" t="n">
        <v>1600</v>
      </c>
      <c r="C6" s="6" t="n">
        <v>1600</v>
      </c>
      <c r="D6" s="16" t="s">
        <v>350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44699.425381944</v>
      </c>
      <c r="B7" s="6" t="n">
        <v>1000</v>
      </c>
      <c r="C7" s="6" t="n">
        <v>1000</v>
      </c>
      <c r="D7" s="16" t="s">
        <v>350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44706</v>
      </c>
      <c r="B8" s="6" t="n">
        <v>-16.08</v>
      </c>
      <c r="C8" s="6" t="n">
        <v>-16.08</v>
      </c>
      <c r="D8" s="16" t="s">
        <v>351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44706.506296296</v>
      </c>
      <c r="B9" s="6" t="n">
        <v>43.77</v>
      </c>
      <c r="C9" s="6" t="n">
        <v>43.77</v>
      </c>
      <c r="D9" s="16" t="s">
        <v>350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44707.818576389</v>
      </c>
      <c r="B10" s="6" t="n">
        <v>16.08</v>
      </c>
      <c r="C10" s="6" t="n">
        <v>16.08</v>
      </c>
      <c r="D10" s="16" t="s">
        <v>352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44708.634189815</v>
      </c>
      <c r="B11" s="6" t="n">
        <v>3000</v>
      </c>
      <c r="C11" s="6" t="n">
        <v>3000</v>
      </c>
      <c r="D11" s="16" t="s">
        <v>350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44708.71693287</v>
      </c>
      <c r="B12" s="6" t="n">
        <v>100</v>
      </c>
      <c r="C12" s="6" t="n">
        <v>100</v>
      </c>
      <c r="D12" s="16" t="s">
        <v>350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44739.58806713</v>
      </c>
      <c r="B13" s="6" t="n">
        <v>1000</v>
      </c>
      <c r="C13" s="6" t="n">
        <v>1000</v>
      </c>
      <c r="D13" s="16" t="s">
        <v>350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44739.601701389</v>
      </c>
      <c r="B14" s="6" t="n">
        <v>100</v>
      </c>
      <c r="C14" s="6" t="n">
        <v>100</v>
      </c>
      <c r="D14" s="16" t="s">
        <v>350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44742.446469907</v>
      </c>
      <c r="B15" s="6" t="n">
        <v>1100</v>
      </c>
      <c r="C15" s="6" t="n">
        <v>1100</v>
      </c>
      <c r="D15" s="16" t="s">
        <v>350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44746.468020833</v>
      </c>
      <c r="B16" s="6" t="n">
        <v>1000</v>
      </c>
      <c r="C16" s="6" t="n">
        <v>1000</v>
      </c>
      <c r="D16" s="16" t="s">
        <v>350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44746.473969907</v>
      </c>
      <c r="B17" s="6" t="n">
        <v>800</v>
      </c>
      <c r="C17" s="6" t="n">
        <v>800</v>
      </c>
      <c r="D17" s="16" t="s">
        <v>350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44748</v>
      </c>
      <c r="B18" s="6" t="n">
        <v>-200</v>
      </c>
      <c r="C18" s="6" t="n">
        <v>-200</v>
      </c>
      <c r="D18" s="16" t="s">
        <v>353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44748.449386574</v>
      </c>
      <c r="B19" s="6" t="n">
        <v>100</v>
      </c>
      <c r="C19" s="6" t="n">
        <v>100</v>
      </c>
      <c r="D19" s="16" t="s">
        <v>350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44749</v>
      </c>
      <c r="B20" s="6" t="n">
        <v>-27.92</v>
      </c>
      <c r="C20" s="6" t="n">
        <v>-27.92</v>
      </c>
      <c r="D20" s="16" t="s">
        <v>354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44750.521018519</v>
      </c>
      <c r="B21" s="6" t="n">
        <v>27.92</v>
      </c>
      <c r="C21" s="6" t="n">
        <v>27.92</v>
      </c>
      <c r="D21" s="16" t="s">
        <v>355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44750.523553241</v>
      </c>
      <c r="B22" s="6" t="n">
        <v>200</v>
      </c>
      <c r="C22" s="6" t="n">
        <v>200</v>
      </c>
      <c r="D22" s="16" t="s">
        <v>356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44761.4940625</v>
      </c>
      <c r="B23" s="6" t="n">
        <v>700</v>
      </c>
      <c r="C23" s="6" t="n">
        <v>700</v>
      </c>
      <c r="D23" s="16" t="s">
        <v>350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44761.494351852</v>
      </c>
      <c r="B24" s="6" t="n">
        <v>50</v>
      </c>
      <c r="C24" s="6" t="n">
        <v>50</v>
      </c>
      <c r="D24" s="16" t="s">
        <v>350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44761.494479167</v>
      </c>
      <c r="B25" s="6" t="n">
        <v>50</v>
      </c>
      <c r="C25" s="6" t="n">
        <v>50</v>
      </c>
      <c r="D25" s="16" t="s">
        <v>350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44769</v>
      </c>
      <c r="B26" s="6" t="n">
        <v>-29.03</v>
      </c>
      <c r="C26" s="6" t="n">
        <v>-29.03</v>
      </c>
      <c r="D26" s="16" t="s">
        <v>357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44769.423657407</v>
      </c>
      <c r="B27" s="6" t="n">
        <v>2700</v>
      </c>
      <c r="C27" s="6" t="n">
        <v>2700</v>
      </c>
      <c r="D27" s="16" t="s">
        <v>350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44774.505381944</v>
      </c>
      <c r="B28" s="6" t="n">
        <v>29.03</v>
      </c>
      <c r="C28" s="6" t="n">
        <v>29.03</v>
      </c>
      <c r="D28" s="16" t="s">
        <v>358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44776</v>
      </c>
      <c r="B29" s="6" t="n">
        <v>-30.42</v>
      </c>
      <c r="C29" s="6" t="n">
        <v>-30.42</v>
      </c>
      <c r="D29" s="16" t="s">
        <v>359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44776.530092593</v>
      </c>
      <c r="B30" s="6" t="n">
        <v>200</v>
      </c>
      <c r="C30" s="6" t="n">
        <v>200</v>
      </c>
      <c r="D30" s="16" t="s">
        <v>350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44778</v>
      </c>
      <c r="B31" s="6" t="n">
        <v>30.42</v>
      </c>
      <c r="C31" s="6" t="n">
        <v>30.42</v>
      </c>
      <c r="D31" s="16" t="s">
        <v>360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44784</v>
      </c>
      <c r="B32" s="6" t="n">
        <v>3500</v>
      </c>
      <c r="C32" s="6" t="n">
        <v>3500</v>
      </c>
      <c r="D32" s="16" t="s">
        <v>350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44797</v>
      </c>
      <c r="B33" s="6" t="n">
        <v>-16.08</v>
      </c>
      <c r="C33" s="6" t="n">
        <v>-16.08</v>
      </c>
      <c r="D33" s="16" t="s">
        <v>351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44798.64650463</v>
      </c>
      <c r="B34" s="6" t="n">
        <v>16.08</v>
      </c>
      <c r="C34" s="6" t="n">
        <v>16.08</v>
      </c>
      <c r="D34" s="16" t="s">
        <v>352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44810.494699074</v>
      </c>
      <c r="B35" s="6" t="n">
        <v>107.63</v>
      </c>
      <c r="C35" s="6" t="n">
        <v>107.63</v>
      </c>
      <c r="D35" s="16" t="s">
        <v>350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44825</v>
      </c>
      <c r="B36" s="6" t="n">
        <v>-29.42</v>
      </c>
      <c r="C36" s="6" t="n">
        <v>-29.42</v>
      </c>
      <c r="D36" s="16" t="s">
        <v>361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44826.585439815</v>
      </c>
      <c r="B37" s="6" t="n">
        <v>29.42</v>
      </c>
      <c r="C37" s="6" t="n">
        <v>29.42</v>
      </c>
      <c r="D37" s="16" t="s">
        <v>362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44840</v>
      </c>
      <c r="B38" s="6" t="n">
        <v>-20.94</v>
      </c>
      <c r="C38" s="6" t="n">
        <v>-20.94</v>
      </c>
      <c r="D38" s="16" t="s">
        <v>363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44841.550775463</v>
      </c>
      <c r="B39" s="6" t="n">
        <v>20.94</v>
      </c>
      <c r="C39" s="6" t="n">
        <v>20.94</v>
      </c>
      <c r="D39" s="16" t="s">
        <v>355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44843</v>
      </c>
      <c r="B40" s="6" t="n">
        <v>-45</v>
      </c>
      <c r="C40" s="6" t="n">
        <v>-45</v>
      </c>
      <c r="D40" s="16" t="s">
        <v>364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44845</v>
      </c>
      <c r="B41" s="6" t="n">
        <v>-510.3</v>
      </c>
      <c r="C41" s="6" t="n">
        <v>-510.3</v>
      </c>
      <c r="D41" s="16" t="s">
        <v>365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44845</v>
      </c>
      <c r="B42" s="6" t="n">
        <v>-32.71</v>
      </c>
      <c r="C42" s="6" t="n">
        <v>-32.71</v>
      </c>
      <c r="D42" s="16" t="s">
        <v>366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44858.431550926</v>
      </c>
      <c r="B43" s="6" t="n">
        <v>1700</v>
      </c>
      <c r="C43" s="6" t="n">
        <v>1700</v>
      </c>
      <c r="D43" s="16" t="s">
        <v>350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44859.648414352</v>
      </c>
      <c r="B44" s="6" t="n">
        <v>45</v>
      </c>
      <c r="C44" s="6" t="n">
        <v>45</v>
      </c>
      <c r="D44" s="16" t="s">
        <v>367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44860</v>
      </c>
      <c r="B45" s="6" t="n">
        <v>-19.69</v>
      </c>
      <c r="C45" s="6" t="n">
        <v>-19.69</v>
      </c>
      <c r="D45" s="16" t="s">
        <v>368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44860.724710648</v>
      </c>
      <c r="B46" s="6" t="n">
        <v>700</v>
      </c>
      <c r="C46" s="6" t="n">
        <v>700</v>
      </c>
      <c r="D46" s="16" t="s">
        <v>350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44860.860509259</v>
      </c>
      <c r="B47" s="6" t="n">
        <v>510.3</v>
      </c>
      <c r="C47" s="6" t="n">
        <v>510.3</v>
      </c>
      <c r="D47" s="16" t="s">
        <v>369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44861.514490741</v>
      </c>
      <c r="B48" s="6" t="n">
        <v>19.69</v>
      </c>
      <c r="C48" s="6" t="n">
        <v>19.69</v>
      </c>
      <c r="D48" s="16" t="s">
        <v>358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44862.439351852</v>
      </c>
      <c r="B49" s="6" t="n">
        <v>32.71</v>
      </c>
      <c r="C49" s="6" t="n">
        <v>32.71</v>
      </c>
      <c r="D49" s="16" t="s">
        <v>370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44862.66224537</v>
      </c>
      <c r="B50" s="6" t="n">
        <v>500</v>
      </c>
      <c r="C50" s="6" t="n">
        <v>500</v>
      </c>
      <c r="D50" s="16" t="s">
        <v>350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44866.537349537</v>
      </c>
      <c r="B51" s="6" t="n">
        <v>1200</v>
      </c>
      <c r="C51" s="6" t="n">
        <v>1200</v>
      </c>
      <c r="D51" s="16" t="s">
        <v>350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44867.71869213</v>
      </c>
      <c r="B52" s="6" t="n">
        <v>500</v>
      </c>
      <c r="C52" s="6" t="n">
        <v>500</v>
      </c>
      <c r="D52" s="16" t="s">
        <v>350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44868</v>
      </c>
      <c r="B53" s="6" t="n">
        <v>-42.38</v>
      </c>
      <c r="C53" s="6" t="n">
        <v>-42.38</v>
      </c>
      <c r="D53" s="16" t="s">
        <v>371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44868.734166667</v>
      </c>
      <c r="B54" s="6" t="n">
        <v>800</v>
      </c>
      <c r="C54" s="6" t="n">
        <v>800</v>
      </c>
      <c r="D54" s="16" t="s">
        <v>350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44868.769328704</v>
      </c>
      <c r="B55" s="6" t="n">
        <v>3100</v>
      </c>
      <c r="C55" s="6" t="n">
        <v>3100</v>
      </c>
      <c r="D55" s="16" t="s">
        <v>350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44868.773240741</v>
      </c>
      <c r="B56" s="6" t="n">
        <v>300</v>
      </c>
      <c r="C56" s="6" t="n">
        <v>300</v>
      </c>
      <c r="D56" s="16" t="s">
        <v>350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44873.505636574</v>
      </c>
      <c r="B57" s="6" t="n">
        <v>42.38</v>
      </c>
      <c r="C57" s="6" t="n">
        <v>42.38</v>
      </c>
      <c r="D57" s="16" t="s">
        <v>372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44881</v>
      </c>
      <c r="B58" s="6" t="n">
        <v>-68.71</v>
      </c>
      <c r="C58" s="6" t="n">
        <v>-68.71</v>
      </c>
      <c r="D58" s="16" t="s">
        <v>373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44883.449039352</v>
      </c>
      <c r="B59" s="6" t="n">
        <v>68.71</v>
      </c>
      <c r="C59" s="6" t="n">
        <v>68.71</v>
      </c>
      <c r="D59" s="16" t="s">
        <v>374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44887</v>
      </c>
      <c r="B60" s="6" t="n">
        <v>-250</v>
      </c>
      <c r="C60" s="6" t="n">
        <v>-250</v>
      </c>
      <c r="D60" s="16" t="s">
        <v>375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44888</v>
      </c>
      <c r="B61" s="6" t="n">
        <v>-72.3</v>
      </c>
      <c r="C61" s="6" t="n">
        <v>-72.3</v>
      </c>
      <c r="D61" s="16" t="s">
        <v>376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44888</v>
      </c>
      <c r="B62" s="6" t="n">
        <v>-16.08</v>
      </c>
      <c r="C62" s="6" t="n">
        <v>-16.08</v>
      </c>
      <c r="D62" s="16" t="s">
        <v>351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44890</v>
      </c>
      <c r="B63" s="6" t="n">
        <v>16.08</v>
      </c>
      <c r="C63" s="6" t="n">
        <v>16.08</v>
      </c>
      <c r="D63" s="16" t="s">
        <v>352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44890.418738426</v>
      </c>
      <c r="B64" s="6" t="n">
        <v>250</v>
      </c>
      <c r="C64" s="6" t="n">
        <v>250</v>
      </c>
      <c r="D64" s="16" t="s">
        <v>377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44890.493159722</v>
      </c>
      <c r="B65" s="6" t="n">
        <v>72.3</v>
      </c>
      <c r="C65" s="6" t="n">
        <v>72.3</v>
      </c>
      <c r="D65" s="16" t="s">
        <v>378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44897</v>
      </c>
      <c r="B66" s="6" t="n">
        <v>-24.81</v>
      </c>
      <c r="C66" s="6" t="n">
        <v>-24.81</v>
      </c>
      <c r="D66" s="16" t="s">
        <v>379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44900.702731481</v>
      </c>
      <c r="B67" s="6" t="n">
        <v>24.81</v>
      </c>
      <c r="C67" s="6" t="n">
        <v>24.81</v>
      </c>
      <c r="D67" s="16" t="s">
        <v>380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44902</v>
      </c>
      <c r="B68" s="6" t="n">
        <v>-19.87</v>
      </c>
      <c r="C68" s="6" t="n">
        <v>-19.87</v>
      </c>
      <c r="D68" s="16" t="s">
        <v>381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44903.460451389</v>
      </c>
      <c r="B69" s="6" t="n">
        <v>19.87</v>
      </c>
      <c r="C69" s="6" t="n">
        <v>19.87</v>
      </c>
      <c r="D69" s="16" t="s">
        <v>382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44903.493275463</v>
      </c>
      <c r="B70" s="6" t="n">
        <v>5600</v>
      </c>
      <c r="C70" s="6" t="n">
        <v>5600</v>
      </c>
      <c r="D70" s="16" t="s">
        <v>350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44910.439571759</v>
      </c>
      <c r="B71" s="6" t="n">
        <v>1000</v>
      </c>
      <c r="C71" s="6" t="n">
        <v>1000</v>
      </c>
      <c r="D71" s="16" t="s">
        <v>350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44916</v>
      </c>
      <c r="B72" s="6" t="n">
        <v>-145.9</v>
      </c>
      <c r="C72" s="6" t="n">
        <v>-145.9</v>
      </c>
      <c r="D72" s="16" t="s">
        <v>383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44917.616851852</v>
      </c>
      <c r="B73" s="6" t="n">
        <v>145.9</v>
      </c>
      <c r="C73" s="6" t="n">
        <v>145.9</v>
      </c>
      <c r="D73" s="16" t="s">
        <v>384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44929.579305556</v>
      </c>
      <c r="B74" s="6" t="n">
        <v>4600</v>
      </c>
      <c r="C74" s="6" t="n">
        <v>4600</v>
      </c>
      <c r="D74" s="16" t="s">
        <v>350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44931</v>
      </c>
      <c r="B75" s="6" t="n">
        <v>-20.94</v>
      </c>
      <c r="C75" s="6" t="n">
        <v>-20.94</v>
      </c>
      <c r="D75" s="16" t="s">
        <v>363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44936</v>
      </c>
      <c r="B76" s="6" t="n">
        <v>-6.86</v>
      </c>
      <c r="C76" s="6" t="n">
        <v>-6.86</v>
      </c>
      <c r="D76" s="16" t="s">
        <v>385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44936.540266204</v>
      </c>
      <c r="B77" s="6" t="n">
        <v>20.94</v>
      </c>
      <c r="C77" s="6" t="n">
        <v>20.94</v>
      </c>
      <c r="D77" s="16" t="s">
        <v>355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44950.52099537</v>
      </c>
      <c r="B78" s="6" t="n">
        <v>5600</v>
      </c>
      <c r="C78" s="6" t="n">
        <v>5600</v>
      </c>
      <c r="D78" s="16" t="s">
        <v>350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44950.53375</v>
      </c>
      <c r="B79" s="6" t="n">
        <v>600</v>
      </c>
      <c r="C79" s="6" t="n">
        <v>600</v>
      </c>
      <c r="D79" s="16" t="s">
        <v>350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44951</v>
      </c>
      <c r="B80" s="6" t="n">
        <v>-18.31</v>
      </c>
      <c r="C80" s="6" t="n">
        <v>-18.31</v>
      </c>
      <c r="D80" s="16" t="s">
        <v>386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44952.430613426</v>
      </c>
      <c r="B81" s="6" t="n">
        <v>18.31</v>
      </c>
      <c r="C81" s="6" t="n">
        <v>18.31</v>
      </c>
      <c r="D81" s="16" t="s">
        <v>358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44952.800185185</v>
      </c>
      <c r="B82" s="6" t="n">
        <v>6.86</v>
      </c>
      <c r="C82" s="6" t="n">
        <v>6.86</v>
      </c>
      <c r="D82" s="16" t="s">
        <v>370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44957</v>
      </c>
      <c r="B83" s="6" t="n">
        <v>-28.22</v>
      </c>
      <c r="C83" s="6" t="n">
        <v>-28.22</v>
      </c>
      <c r="D83" s="16" t="s">
        <v>387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44958</v>
      </c>
      <c r="B84" s="6" t="n">
        <v>-71.9</v>
      </c>
      <c r="C84" s="6" t="n">
        <v>-71.9</v>
      </c>
      <c r="D84" s="16" t="s">
        <v>388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44958</v>
      </c>
      <c r="B85" s="6" t="n">
        <v>-60.84</v>
      </c>
      <c r="C85" s="6" t="n">
        <v>-60.84</v>
      </c>
      <c r="D85" s="16" t="s">
        <v>389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44958.480150463</v>
      </c>
      <c r="B86" s="6" t="n">
        <v>28.22</v>
      </c>
      <c r="C86" s="6" t="n">
        <v>28.22</v>
      </c>
      <c r="D86" s="16" t="s">
        <v>390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44959.469027778</v>
      </c>
      <c r="B87" s="6" t="n">
        <v>71.9</v>
      </c>
      <c r="C87" s="6" t="n">
        <v>71.9</v>
      </c>
      <c r="D87" s="16" t="s">
        <v>391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44959.520266204</v>
      </c>
      <c r="B88" s="6" t="n">
        <v>60.84</v>
      </c>
      <c r="C88" s="6" t="n">
        <v>60.84</v>
      </c>
      <c r="D88" s="16" t="s">
        <v>360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44961</v>
      </c>
      <c r="B89" s="6" t="n">
        <v>-61.86</v>
      </c>
      <c r="C89" s="6" t="n">
        <v>-61.86</v>
      </c>
      <c r="D89" s="16" t="s">
        <v>392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44964</v>
      </c>
      <c r="B90" s="6" t="n">
        <v>61.86</v>
      </c>
      <c r="C90" s="6" t="n">
        <v>61.86</v>
      </c>
      <c r="D90" s="16" t="s">
        <v>393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44972</v>
      </c>
      <c r="B91" s="6" t="n">
        <v>-69.8</v>
      </c>
      <c r="C91" s="6" t="n">
        <v>-69.8</v>
      </c>
      <c r="D91" s="16" t="s">
        <v>394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44973.503171296</v>
      </c>
      <c r="B92" s="6" t="n">
        <v>69.8</v>
      </c>
      <c r="C92" s="6" t="n">
        <v>69.8</v>
      </c>
      <c r="D92" s="16" t="s">
        <v>395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44979</v>
      </c>
      <c r="B93" s="6" t="n">
        <v>-10.72</v>
      </c>
      <c r="C93" s="6" t="n">
        <v>-10.72</v>
      </c>
      <c r="D93" s="16" t="s">
        <v>396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44984.566064815</v>
      </c>
      <c r="B94" s="6" t="n">
        <v>10.72</v>
      </c>
      <c r="C94" s="6" t="n">
        <v>10.72</v>
      </c>
      <c r="D94" s="16" t="s">
        <v>352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44984.859085648</v>
      </c>
      <c r="B95" s="6" t="n">
        <v>5400</v>
      </c>
      <c r="C95" s="6" t="n">
        <v>5400</v>
      </c>
      <c r="D95" s="16" t="s">
        <v>350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44988</v>
      </c>
      <c r="B96" s="6" t="n">
        <v>-24.81</v>
      </c>
      <c r="C96" s="6" t="n">
        <v>-24.81</v>
      </c>
      <c r="D96" s="16" t="s">
        <v>379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44992.606435185</v>
      </c>
      <c r="B97" s="6" t="n">
        <v>24.81</v>
      </c>
      <c r="C97" s="6" t="n">
        <v>24.81</v>
      </c>
      <c r="D97" s="16" t="s">
        <v>380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44993</v>
      </c>
      <c r="B98" s="6" t="n">
        <v>-69.51</v>
      </c>
      <c r="C98" s="6" t="n">
        <v>-69.51</v>
      </c>
      <c r="D98" s="16" t="s">
        <v>397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44993</v>
      </c>
      <c r="B99" s="6" t="n">
        <v>-19.87</v>
      </c>
      <c r="C99" s="6" t="n">
        <v>-19.87</v>
      </c>
      <c r="D99" s="16" t="s">
        <v>381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44995.549201389</v>
      </c>
      <c r="B100" s="6" t="n">
        <v>69.51</v>
      </c>
      <c r="C100" s="6" t="n">
        <v>69.51</v>
      </c>
      <c r="D100" s="16" t="s">
        <v>398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44995.581087963</v>
      </c>
      <c r="B101" s="6" t="n">
        <v>19.87</v>
      </c>
      <c r="C101" s="6" t="n">
        <v>19.87</v>
      </c>
      <c r="D101" s="16" t="s">
        <v>382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44999.470023148</v>
      </c>
      <c r="B102" s="6" t="n">
        <v>948.56</v>
      </c>
      <c r="C102" s="6" t="n">
        <v>948.56</v>
      </c>
      <c r="D102" s="16" t="s">
        <v>350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44999.485439815</v>
      </c>
      <c r="B103" s="6" t="n">
        <v>600</v>
      </c>
      <c r="C103" s="6" t="n">
        <v>600</v>
      </c>
      <c r="D103" s="16" t="s">
        <v>350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45001.706631944</v>
      </c>
      <c r="B104" s="6" t="n">
        <v>9200</v>
      </c>
      <c r="C104" s="6" t="n">
        <v>9200</v>
      </c>
      <c r="D104" s="16" t="s">
        <v>350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45001.707152778</v>
      </c>
      <c r="B105" s="6" t="n">
        <v>50</v>
      </c>
      <c r="C105" s="6" t="n">
        <v>50</v>
      </c>
      <c r="D105" s="16" t="s">
        <v>350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45001.786354167</v>
      </c>
      <c r="B106" s="6" t="n">
        <v>150</v>
      </c>
      <c r="C106" s="6" t="n">
        <v>150</v>
      </c>
      <c r="D106" s="16" t="s">
        <v>350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45006</v>
      </c>
      <c r="B107" s="6" t="n">
        <v>-39.39</v>
      </c>
      <c r="C107" s="6" t="n">
        <v>-39.39</v>
      </c>
      <c r="D107" s="16" t="s">
        <v>399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45006.751608796</v>
      </c>
      <c r="B108" s="6" t="n">
        <v>4506</v>
      </c>
      <c r="C108" s="6" t="n">
        <v>4506</v>
      </c>
      <c r="D108" s="16" t="s">
        <v>350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45006.904861111</v>
      </c>
      <c r="B109" s="6" t="n">
        <v>-4506</v>
      </c>
      <c r="C109" s="6" t="n">
        <v>0</v>
      </c>
      <c r="D109" s="16" t="s">
        <v>400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45007</v>
      </c>
      <c r="B110" s="6" t="n">
        <v>-58.84</v>
      </c>
      <c r="C110" s="6" t="n">
        <v>-58.84</v>
      </c>
      <c r="D110" s="16" t="s">
        <v>401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45007.523668981</v>
      </c>
      <c r="B111" s="6" t="n">
        <v>39.39</v>
      </c>
      <c r="C111" s="6" t="n">
        <v>39.39</v>
      </c>
      <c r="D111" s="16" t="s">
        <v>402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45008</v>
      </c>
      <c r="B112" s="6" t="n">
        <v>58.84</v>
      </c>
      <c r="C112" s="6" t="n">
        <v>58.84</v>
      </c>
      <c r="D112" s="16" t="s">
        <v>362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45009.672604167</v>
      </c>
      <c r="B113" s="6" t="n">
        <v>186.49</v>
      </c>
      <c r="C113" s="6" t="n">
        <v>186.49</v>
      </c>
      <c r="D113" s="16" t="s">
        <v>350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45009.695150463</v>
      </c>
      <c r="B114" s="6" t="n">
        <v>200</v>
      </c>
      <c r="C114" s="6" t="n">
        <v>200</v>
      </c>
      <c r="D114" s="16" t="s">
        <v>350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45014</v>
      </c>
      <c r="B115" s="6" t="n">
        <v>-14.58</v>
      </c>
      <c r="C115" s="6" t="n">
        <v>-14.58</v>
      </c>
      <c r="D115" s="16" t="s">
        <v>403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45016.420127315</v>
      </c>
      <c r="B116" s="6" t="n">
        <v>14.58</v>
      </c>
      <c r="C116" s="6" t="n">
        <v>14.58</v>
      </c>
      <c r="D116" s="16" t="s">
        <v>404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45021</v>
      </c>
      <c r="B117" s="6" t="n">
        <v>-115.17</v>
      </c>
      <c r="C117" s="6" t="n">
        <v>-115.17</v>
      </c>
      <c r="D117" s="16" t="s">
        <v>405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45021</v>
      </c>
      <c r="B118" s="6" t="n">
        <v>-38.39</v>
      </c>
      <c r="C118" s="6" t="n">
        <v>-38.39</v>
      </c>
      <c r="D118" s="16" t="s">
        <v>406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45022</v>
      </c>
      <c r="B119" s="6" t="n">
        <v>-20.94</v>
      </c>
      <c r="C119" s="6" t="n">
        <v>-20.94</v>
      </c>
      <c r="D119" s="16" t="s">
        <v>363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45022.424814815</v>
      </c>
      <c r="B120" s="6" t="n">
        <v>38.39</v>
      </c>
      <c r="C120" s="6" t="n">
        <v>38.39</v>
      </c>
      <c r="D120" s="16" t="s">
        <v>407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45022.629699074</v>
      </c>
      <c r="B121" s="6" t="n">
        <v>115.17</v>
      </c>
      <c r="C121" s="6" t="n">
        <v>115.17</v>
      </c>
      <c r="D121" s="16" t="s">
        <v>408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45023</v>
      </c>
      <c r="B122" s="6" t="n">
        <v>20.94</v>
      </c>
      <c r="C122" s="6" t="n">
        <v>20.94</v>
      </c>
      <c r="D122" s="16" t="s">
        <v>355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45023.94025463</v>
      </c>
      <c r="B123" s="6" t="n">
        <v>5000</v>
      </c>
      <c r="C123" s="6" t="n">
        <v>5000</v>
      </c>
      <c r="D123" s="16" t="s">
        <v>350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45028</v>
      </c>
      <c r="B124" s="6" t="n">
        <v>-116.68</v>
      </c>
      <c r="C124" s="6" t="n">
        <v>-116.68</v>
      </c>
      <c r="D124" s="16" t="s">
        <v>409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45029.644953704</v>
      </c>
      <c r="B125" s="6" t="n">
        <v>116.68</v>
      </c>
      <c r="C125" s="6" t="n">
        <v>116.68</v>
      </c>
      <c r="D125" s="16" t="s">
        <v>410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45030</v>
      </c>
      <c r="B126" s="6" t="n">
        <v>1182</v>
      </c>
      <c r="C126" s="6" t="n">
        <v>1182</v>
      </c>
      <c r="D126" s="16" t="s">
        <v>350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45035.727997685</v>
      </c>
      <c r="B127" s="6" t="n">
        <v>758.7</v>
      </c>
      <c r="C127" s="6" t="n">
        <v>758.7</v>
      </c>
      <c r="D127" s="16" t="s">
        <v>350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45042</v>
      </c>
      <c r="B128" s="6" t="n">
        <v>-17.98</v>
      </c>
      <c r="C128" s="6" t="n">
        <v>-17.98</v>
      </c>
      <c r="D128" s="16" t="s">
        <v>411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45043.477037037</v>
      </c>
      <c r="B129" s="6" t="n">
        <v>17.98</v>
      </c>
      <c r="C129" s="6" t="n">
        <v>17.98</v>
      </c>
      <c r="D129" s="16" t="s">
        <v>358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45048</v>
      </c>
      <c r="B130" s="6" t="n">
        <v>-28.22</v>
      </c>
      <c r="C130" s="6" t="n">
        <v>-28.22</v>
      </c>
      <c r="D130" s="16" t="s">
        <v>387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45049</v>
      </c>
      <c r="B131" s="6" t="n">
        <v>-60.58</v>
      </c>
      <c r="C131" s="6" t="n">
        <v>-60.58</v>
      </c>
      <c r="D131" s="16" t="s">
        <v>412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45049.518622685</v>
      </c>
      <c r="B132" s="6" t="n">
        <v>28.22</v>
      </c>
      <c r="C132" s="6" t="n">
        <v>28.22</v>
      </c>
      <c r="D132" s="16" t="s">
        <v>390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45050</v>
      </c>
      <c r="B133" s="6" t="n">
        <v>-42.38</v>
      </c>
      <c r="C133" s="6" t="n">
        <v>-42.38</v>
      </c>
      <c r="D133" s="16" t="s">
        <v>371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45051.488842593</v>
      </c>
      <c r="B134" s="6" t="n">
        <v>42.38</v>
      </c>
      <c r="C134" s="6" t="n">
        <v>42.38</v>
      </c>
      <c r="D134" s="16" t="s">
        <v>372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45053.581898148</v>
      </c>
      <c r="B135" s="6" t="n">
        <v>5000</v>
      </c>
      <c r="C135" s="6" t="n">
        <v>5000</v>
      </c>
      <c r="D135" s="16" t="s">
        <v>350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45057</v>
      </c>
      <c r="B136" s="6" t="n">
        <v>-750</v>
      </c>
      <c r="C136" s="6" t="n">
        <v>-750</v>
      </c>
      <c r="D136" s="16" t="s">
        <v>413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45057</v>
      </c>
      <c r="B137" s="6" t="n">
        <v>-500</v>
      </c>
      <c r="C137" s="6" t="n">
        <v>-500</v>
      </c>
      <c r="D137" s="16" t="s">
        <v>414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45061</v>
      </c>
      <c r="B138" s="6" t="n">
        <v>801</v>
      </c>
      <c r="C138" s="6" t="n">
        <v>801</v>
      </c>
      <c r="D138" s="16" t="s">
        <v>350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45061</v>
      </c>
      <c r="B139" s="6" t="n">
        <v>2000</v>
      </c>
      <c r="C139" s="6" t="n">
        <v>2000</v>
      </c>
      <c r="D139" s="16" t="s">
        <v>350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45063</v>
      </c>
      <c r="B140" s="6" t="n">
        <v>-153.63</v>
      </c>
      <c r="C140" s="6" t="n">
        <v>-153.63</v>
      </c>
      <c r="D140" s="16" t="s">
        <v>415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45064.552048611</v>
      </c>
      <c r="B141" s="6" t="n">
        <v>153.63</v>
      </c>
      <c r="C141" s="6" t="n">
        <v>153.63</v>
      </c>
      <c r="D141" s="16" t="s">
        <v>374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45065.64244213</v>
      </c>
      <c r="B142" s="6" t="n">
        <v>60.58</v>
      </c>
      <c r="C142" s="6" t="n">
        <v>60.58</v>
      </c>
      <c r="D142" s="16" t="s">
        <v>367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45068</v>
      </c>
      <c r="B143" s="6" t="n">
        <v>-32.41</v>
      </c>
      <c r="C143" s="6" t="n">
        <v>-32.41</v>
      </c>
      <c r="D143" s="16" t="s">
        <v>416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45069.4671875</v>
      </c>
      <c r="B144" s="6" t="n">
        <v>32.41</v>
      </c>
      <c r="C144" s="6" t="n">
        <v>32.41</v>
      </c>
      <c r="D144" s="16" t="s">
        <v>417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45070</v>
      </c>
      <c r="B145" s="6" t="n">
        <v>-108.45</v>
      </c>
      <c r="C145" s="6" t="n">
        <v>-108.45</v>
      </c>
      <c r="D145" s="16" t="s">
        <v>418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45070</v>
      </c>
      <c r="B146" s="6" t="n">
        <v>-10.72</v>
      </c>
      <c r="C146" s="6" t="n">
        <v>-10.72</v>
      </c>
      <c r="D146" s="16" t="s">
        <v>396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45071</v>
      </c>
      <c r="B147" s="6" t="n">
        <v>-10.83</v>
      </c>
      <c r="C147" s="6" t="n">
        <v>-10.83</v>
      </c>
      <c r="D147" s="16" t="s">
        <v>419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45071.470555556</v>
      </c>
      <c r="B148" s="6" t="n">
        <v>10.72</v>
      </c>
      <c r="C148" s="6" t="n">
        <v>10.72</v>
      </c>
      <c r="D148" s="16" t="s">
        <v>352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45071.536481481</v>
      </c>
      <c r="B149" s="6" t="n">
        <v>500</v>
      </c>
      <c r="C149" s="6" t="n">
        <v>500</v>
      </c>
      <c r="D149" s="16" t="s">
        <v>420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45071.748969907</v>
      </c>
      <c r="B150" s="6" t="n">
        <v>750</v>
      </c>
      <c r="C150" s="6" t="n">
        <v>750</v>
      </c>
      <c r="D150" s="16" t="s">
        <v>421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45072.660949074</v>
      </c>
      <c r="B151" s="6" t="n">
        <v>108.45</v>
      </c>
      <c r="C151" s="6" t="n">
        <v>108.45</v>
      </c>
      <c r="D151" s="16" t="s">
        <v>378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45072.758622685</v>
      </c>
      <c r="B152" s="6" t="n">
        <v>10.83</v>
      </c>
      <c r="C152" s="6" t="n">
        <v>10.83</v>
      </c>
      <c r="D152" s="16" t="s">
        <v>422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45076</v>
      </c>
      <c r="B153" s="6" t="n">
        <v>-113.4621272076</v>
      </c>
      <c r="C153" s="6" t="n">
        <v>-113.4621272076</v>
      </c>
      <c r="D153" s="16" t="s">
        <v>423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45079</v>
      </c>
      <c r="B154" s="6" t="n">
        <v>-24.81</v>
      </c>
      <c r="C154" s="6" t="n">
        <v>-24.81</v>
      </c>
      <c r="D154" s="16" t="s">
        <v>379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45082.549675926</v>
      </c>
      <c r="B155" s="6" t="n">
        <v>24.81</v>
      </c>
      <c r="C155" s="6" t="n">
        <v>24.81</v>
      </c>
      <c r="D155" s="16" t="s">
        <v>380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45082.671898148</v>
      </c>
      <c r="B156" s="6" t="n">
        <v>6200</v>
      </c>
      <c r="C156" s="6" t="n">
        <v>6200</v>
      </c>
      <c r="D156" s="16" t="s">
        <v>350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45084</v>
      </c>
      <c r="B157" s="6" t="n">
        <v>-32.66</v>
      </c>
      <c r="C157" s="6" t="n">
        <v>-32.66</v>
      </c>
      <c r="D157" s="16" t="s">
        <v>424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45084</v>
      </c>
      <c r="B158" s="6" t="n">
        <v>-19.87</v>
      </c>
      <c r="C158" s="6" t="n">
        <v>-19.87</v>
      </c>
      <c r="D158" s="16" t="s">
        <v>381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45084</v>
      </c>
      <c r="B159" s="6" t="n">
        <v>-141.6</v>
      </c>
      <c r="C159" s="6" t="n">
        <v>-141.6</v>
      </c>
      <c r="D159" s="16" t="s">
        <v>425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45085</v>
      </c>
      <c r="B160" s="6" t="n">
        <v>5000</v>
      </c>
      <c r="C160" s="6" t="n">
        <v>5000</v>
      </c>
      <c r="D160" s="16" t="s">
        <v>350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45085.750104167</v>
      </c>
      <c r="B161" s="6" t="n">
        <v>32.66</v>
      </c>
      <c r="C161" s="6" t="n">
        <v>32.66</v>
      </c>
      <c r="D161" s="16" t="s">
        <v>426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45085.755891204</v>
      </c>
      <c r="B162" s="6" t="n">
        <v>19.87</v>
      </c>
      <c r="C162" s="6" t="n">
        <v>19.87</v>
      </c>
      <c r="D162" s="16" t="s">
        <v>382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45086</v>
      </c>
      <c r="B163" s="6" t="n">
        <v>141.6</v>
      </c>
      <c r="C163" s="6" t="n">
        <v>141.6</v>
      </c>
      <c r="D163" s="16" t="s">
        <v>427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45090</v>
      </c>
      <c r="B164" s="6" t="n">
        <v>-31.3</v>
      </c>
      <c r="C164" s="6" t="n">
        <v>-31.3</v>
      </c>
      <c r="D164" s="16" t="s">
        <v>428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45091</v>
      </c>
      <c r="B165" s="6" t="n">
        <v>31.3</v>
      </c>
      <c r="C165" s="6" t="n">
        <v>31.3</v>
      </c>
      <c r="D165" s="16" t="s">
        <v>429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45091</v>
      </c>
      <c r="B166" s="6" t="n">
        <v>710</v>
      </c>
      <c r="C166" s="6" t="n">
        <v>710</v>
      </c>
      <c r="D166" s="16" t="s">
        <v>350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45091.666342593</v>
      </c>
      <c r="B167" s="6" t="n">
        <v>113.46</v>
      </c>
      <c r="C167" s="6" t="n">
        <v>113.46</v>
      </c>
      <c r="D167" s="16" t="s">
        <v>430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45093</v>
      </c>
      <c r="B168" s="6" t="n">
        <v>-48.4</v>
      </c>
      <c r="C168" s="6" t="n">
        <v>-48.4</v>
      </c>
      <c r="D168" s="16" t="s">
        <v>431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45098</v>
      </c>
      <c r="B169" s="6" t="n">
        <v>-142.56</v>
      </c>
      <c r="C169" s="6" t="n">
        <v>-142.56</v>
      </c>
      <c r="D169" s="16" t="s">
        <v>432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45099.541446759</v>
      </c>
      <c r="B170" s="6" t="n">
        <v>142.56</v>
      </c>
      <c r="C170" s="6" t="n">
        <v>142.56</v>
      </c>
      <c r="D170" s="16" t="s">
        <v>384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45104.514351852</v>
      </c>
      <c r="B171" s="6" t="n">
        <v>6200</v>
      </c>
      <c r="C171" s="6" t="n">
        <v>6200</v>
      </c>
      <c r="D171" s="16" t="s">
        <v>350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45107.707291667</v>
      </c>
      <c r="B172" s="6" t="n">
        <v>48.4</v>
      </c>
      <c r="C172" s="6" t="n">
        <v>48.4</v>
      </c>
      <c r="D172" s="16" t="s">
        <v>433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45112</v>
      </c>
      <c r="B173" s="6" t="n">
        <v>-200</v>
      </c>
      <c r="C173" s="6" t="n">
        <v>-200</v>
      </c>
      <c r="D173" s="16" t="s">
        <v>353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45113</v>
      </c>
      <c r="B174" s="6" t="n">
        <v>-20.94</v>
      </c>
      <c r="C174" s="6" t="n">
        <v>-20.94</v>
      </c>
      <c r="D174" s="16" t="s">
        <v>363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45113.942280093</v>
      </c>
      <c r="B175" s="6" t="n">
        <v>5000</v>
      </c>
      <c r="C175" s="6" t="n">
        <v>5000</v>
      </c>
      <c r="D175" s="16" t="s">
        <v>350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45114.422372685</v>
      </c>
      <c r="B176" s="6" t="n">
        <v>20.94</v>
      </c>
      <c r="C176" s="6" t="n">
        <v>20.94</v>
      </c>
      <c r="D176" s="16" t="s">
        <v>355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45114.427546296</v>
      </c>
      <c r="B177" s="6" t="n">
        <v>200</v>
      </c>
      <c r="C177" s="6" t="n">
        <v>200</v>
      </c>
      <c r="D177" s="16" t="s">
        <v>356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45118</v>
      </c>
      <c r="B178" s="6" t="n">
        <v>-27.71</v>
      </c>
      <c r="C178" s="6" t="n">
        <v>-27.71</v>
      </c>
      <c r="D178" s="16" t="s">
        <v>434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45118</v>
      </c>
      <c r="B179" s="6" t="n">
        <v>-50.254795</v>
      </c>
      <c r="C179" s="6" t="n">
        <v>-50.254795</v>
      </c>
      <c r="D179" s="16" t="s">
        <v>435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45124.484224537</v>
      </c>
      <c r="B180" s="6" t="n">
        <v>952.2</v>
      </c>
      <c r="C180" s="6" t="n">
        <v>952.2</v>
      </c>
      <c r="D180" s="16" t="s">
        <v>350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45126</v>
      </c>
      <c r="B181" s="6" t="n">
        <v>-41</v>
      </c>
      <c r="C181" s="6" t="n">
        <v>-41</v>
      </c>
      <c r="D181" s="16" t="s">
        <v>436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45127</v>
      </c>
      <c r="B182" s="6" t="n">
        <v>-80</v>
      </c>
      <c r="C182" s="6" t="n">
        <v>-80</v>
      </c>
      <c r="D182" s="16" t="s">
        <v>437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45127</v>
      </c>
      <c r="B183" s="6" t="n">
        <v>-80</v>
      </c>
      <c r="C183" s="6" t="n">
        <v>-80</v>
      </c>
      <c r="D183" s="16" t="s">
        <v>438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45133</v>
      </c>
      <c r="B184" s="6" t="n">
        <v>-43.38</v>
      </c>
      <c r="C184" s="6" t="n">
        <v>-43.38</v>
      </c>
      <c r="D184" s="16" t="s">
        <v>439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45133</v>
      </c>
      <c r="B185" s="6" t="n">
        <v>-18.18</v>
      </c>
      <c r="C185" s="6" t="n">
        <v>-18.18</v>
      </c>
      <c r="D185" s="16" t="s">
        <v>440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45133.585532407</v>
      </c>
      <c r="B186" s="6" t="n">
        <v>50.26</v>
      </c>
      <c r="C186" s="6" t="n">
        <v>50.26</v>
      </c>
      <c r="D186" s="16" t="s">
        <v>441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45134.634351852</v>
      </c>
      <c r="B187" s="6" t="n">
        <v>27.71</v>
      </c>
      <c r="C187" s="6" t="n">
        <v>27.71</v>
      </c>
      <c r="D187" s="16" t="s">
        <v>370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45135.731770833</v>
      </c>
      <c r="B188" s="6" t="n">
        <v>43.38</v>
      </c>
      <c r="C188" s="6" t="n">
        <v>43.38</v>
      </c>
      <c r="D188" s="16" t="s">
        <v>442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45135.755277778</v>
      </c>
      <c r="B189" s="6" t="n">
        <v>18.18</v>
      </c>
      <c r="C189" s="6" t="n">
        <v>18.18</v>
      </c>
      <c r="D189" s="16" t="s">
        <v>358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45139</v>
      </c>
      <c r="B190" s="6" t="n">
        <v>-28.22</v>
      </c>
      <c r="C190" s="6" t="n">
        <v>-28.22</v>
      </c>
      <c r="D190" s="16" t="s">
        <v>387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45140</v>
      </c>
      <c r="B191" s="6" t="n">
        <v>-304.2</v>
      </c>
      <c r="C191" s="6" t="n">
        <v>-304.2</v>
      </c>
      <c r="D191" s="16" t="s">
        <v>443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45140</v>
      </c>
      <c r="B192" s="6" t="n">
        <v>-43.53</v>
      </c>
      <c r="C192" s="6" t="n">
        <v>-43.53</v>
      </c>
      <c r="D192" s="16" t="s">
        <v>444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45141.766342593</v>
      </c>
      <c r="B193" s="6" t="n">
        <v>41</v>
      </c>
      <c r="C193" s="6" t="n">
        <v>41</v>
      </c>
      <c r="D193" s="16" t="s">
        <v>445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45142</v>
      </c>
      <c r="B194" s="6" t="n">
        <v>28.22</v>
      </c>
      <c r="C194" s="6" t="n">
        <v>28.22</v>
      </c>
      <c r="D194" s="16" t="s">
        <v>390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45142.502164352</v>
      </c>
      <c r="B195" s="6" t="n">
        <v>43.53</v>
      </c>
      <c r="C195" s="6" t="n">
        <v>43.53</v>
      </c>
      <c r="D195" s="16" t="s">
        <v>391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45142.532604167</v>
      </c>
      <c r="B196" s="6" t="n">
        <v>80</v>
      </c>
      <c r="C196" s="6" t="n">
        <v>80</v>
      </c>
      <c r="D196" s="16" t="s">
        <v>446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45142.57212963</v>
      </c>
      <c r="B197" s="6" t="n">
        <v>304.2</v>
      </c>
      <c r="C197" s="6" t="n">
        <v>304.2</v>
      </c>
      <c r="D197" s="16" t="s">
        <v>360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45142.611886574</v>
      </c>
      <c r="B198" s="6" t="n">
        <v>80</v>
      </c>
      <c r="C198" s="6" t="n">
        <v>80</v>
      </c>
      <c r="D198" s="16" t="s">
        <v>447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45143</v>
      </c>
      <c r="B199" s="6" t="n">
        <v>-53.1</v>
      </c>
      <c r="C199" s="6" t="n">
        <v>-53.1</v>
      </c>
      <c r="D199" s="16" t="s">
        <v>448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45146.938344907</v>
      </c>
      <c r="B200" s="6" t="n">
        <v>11000</v>
      </c>
      <c r="C200" s="6" t="n">
        <v>11000</v>
      </c>
      <c r="D200" s="16" t="s">
        <v>350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45147.463553241</v>
      </c>
      <c r="B201" s="6" t="n">
        <v>53.1</v>
      </c>
      <c r="C201" s="6" t="n">
        <v>53.1</v>
      </c>
      <c r="D201" s="16" t="s">
        <v>393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45152.882280093</v>
      </c>
      <c r="B202" s="6" t="n">
        <v>1285</v>
      </c>
      <c r="C202" s="6" t="n">
        <v>1285</v>
      </c>
      <c r="D202" s="16" t="s">
        <v>350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45154</v>
      </c>
      <c r="B203" s="6" t="n">
        <v>-244.3</v>
      </c>
      <c r="C203" s="6" t="n">
        <v>-244.3</v>
      </c>
      <c r="D203" s="16" t="s">
        <v>449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45155.555381944</v>
      </c>
      <c r="B204" s="6" t="n">
        <v>244.3</v>
      </c>
      <c r="C204" s="6" t="n">
        <v>244.3</v>
      </c>
      <c r="D204" s="16" t="s">
        <v>395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45156</v>
      </c>
      <c r="B205" s="6" t="n">
        <v>-51.61</v>
      </c>
      <c r="C205" s="6" t="n">
        <v>-51.61</v>
      </c>
      <c r="D205" s="16" t="s">
        <v>450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45158</v>
      </c>
      <c r="B206" s="6" t="n">
        <v>-15</v>
      </c>
      <c r="C206" s="6" t="n">
        <v>-15</v>
      </c>
      <c r="D206" s="16" t="s">
        <v>451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45159</v>
      </c>
      <c r="B207" s="6" t="n">
        <v>-64.82</v>
      </c>
      <c r="C207" s="6" t="n">
        <v>-64.82</v>
      </c>
      <c r="D207" s="16" t="s">
        <v>452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45159</v>
      </c>
      <c r="B208" s="6" t="n">
        <v>51.61</v>
      </c>
      <c r="C208" s="6" t="n">
        <v>51.61</v>
      </c>
      <c r="D208" s="16" t="s">
        <v>453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45160.712881944</v>
      </c>
      <c r="B209" s="6" t="n">
        <v>64.82</v>
      </c>
      <c r="C209" s="6" t="n">
        <v>64.82</v>
      </c>
      <c r="D209" s="16" t="s">
        <v>417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45160.721944444</v>
      </c>
      <c r="B210" s="6" t="n">
        <v>15</v>
      </c>
      <c r="C210" s="6" t="n">
        <v>15</v>
      </c>
      <c r="D210" s="16" t="s">
        <v>454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45161</v>
      </c>
      <c r="B211" s="6" t="n">
        <v>-10.72</v>
      </c>
      <c r="C211" s="6" t="n">
        <v>-10.72</v>
      </c>
      <c r="D211" s="16" t="s">
        <v>396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45162</v>
      </c>
      <c r="B212" s="6" t="n">
        <v>-10.83</v>
      </c>
      <c r="C212" s="6" t="n">
        <v>-10.83</v>
      </c>
      <c r="D212" s="16" t="s">
        <v>419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45162.687893519</v>
      </c>
      <c r="B213" s="6" t="n">
        <v>10.72</v>
      </c>
      <c r="C213" s="6" t="n">
        <v>10.72</v>
      </c>
      <c r="D213" s="16" t="s">
        <v>352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45163.491655093</v>
      </c>
      <c r="B214" s="6" t="n">
        <v>10.83</v>
      </c>
      <c r="C214" s="6" t="n">
        <v>10.83</v>
      </c>
      <c r="D214" s="16" t="s">
        <v>422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45170</v>
      </c>
      <c r="B215" s="6" t="n">
        <v>-24.81</v>
      </c>
      <c r="C215" s="6" t="n">
        <v>-24.81</v>
      </c>
      <c r="D215" s="16" t="s">
        <v>379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45173.602847222</v>
      </c>
      <c r="B216" s="6" t="n">
        <v>24.81</v>
      </c>
      <c r="C216" s="6" t="n">
        <v>24.81</v>
      </c>
      <c r="D216" s="16" t="s">
        <v>380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45175</v>
      </c>
      <c r="B217" s="6" t="n">
        <v>-19.87</v>
      </c>
      <c r="C217" s="6" t="n">
        <v>-19.87</v>
      </c>
      <c r="D217" s="16" t="s">
        <v>381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45175</v>
      </c>
      <c r="B218" s="6" t="n">
        <v>-43.33</v>
      </c>
      <c r="C218" s="6" t="n">
        <v>-43.33</v>
      </c>
      <c r="D218" s="16" t="s">
        <v>455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45175.908761574</v>
      </c>
      <c r="B219" s="6" t="n">
        <v>5000</v>
      </c>
      <c r="C219" s="6" t="n">
        <v>5000</v>
      </c>
      <c r="D219" s="16" t="s">
        <v>350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45176.529166667</v>
      </c>
      <c r="B220" s="6" t="n">
        <v>19.87</v>
      </c>
      <c r="C220" s="6" t="n">
        <v>19.87</v>
      </c>
      <c r="D220" s="16" t="s">
        <v>382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45176.563553241</v>
      </c>
      <c r="B221" s="6" t="n">
        <v>43.33</v>
      </c>
      <c r="C221" s="6" t="n">
        <v>43.33</v>
      </c>
      <c r="D221" s="16" t="s">
        <v>398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45183.59962963</v>
      </c>
      <c r="B222" s="6" t="n">
        <v>6000</v>
      </c>
      <c r="C222" s="6" t="n">
        <v>6000</v>
      </c>
      <c r="D222" s="16" t="s">
        <v>350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45187</v>
      </c>
      <c r="B223" s="6" t="n">
        <v>200</v>
      </c>
      <c r="C223" s="6" t="n">
        <v>200</v>
      </c>
      <c r="D223" s="16" t="s">
        <v>350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45188</v>
      </c>
      <c r="B224" s="6" t="n">
        <v>-39.39</v>
      </c>
      <c r="C224" s="6" t="n">
        <v>-39.39</v>
      </c>
      <c r="D224" s="16" t="s">
        <v>399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45189</v>
      </c>
      <c r="B225" s="6" t="n">
        <v>-16.48</v>
      </c>
      <c r="C225" s="6" t="n">
        <v>-16.48</v>
      </c>
      <c r="D225" s="16" t="s">
        <v>456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45189</v>
      </c>
      <c r="B226" s="6" t="n">
        <v>-205.94</v>
      </c>
      <c r="C226" s="6" t="n">
        <v>-205.94</v>
      </c>
      <c r="D226" s="16" t="s">
        <v>457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45189.530925926</v>
      </c>
      <c r="B227" s="6" t="n">
        <v>39.39</v>
      </c>
      <c r="C227" s="6" t="n">
        <v>39.39</v>
      </c>
      <c r="D227" s="16" t="s">
        <v>402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45191.532303241</v>
      </c>
      <c r="B228" s="6" t="n">
        <v>205.94</v>
      </c>
      <c r="C228" s="6" t="n">
        <v>205.94</v>
      </c>
      <c r="D228" s="16" t="s">
        <v>362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45191.809525463</v>
      </c>
      <c r="B229" s="6" t="n">
        <v>16.48</v>
      </c>
      <c r="C229" s="6" t="n">
        <v>16.48</v>
      </c>
      <c r="D229" s="16" t="s">
        <v>454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45194</v>
      </c>
      <c r="B230" s="6" t="n">
        <v>-75</v>
      </c>
      <c r="C230" s="6" t="n">
        <v>-75</v>
      </c>
      <c r="D230" s="16" t="s">
        <v>458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45195</v>
      </c>
      <c r="B231" s="6" t="n">
        <v>-21.6</v>
      </c>
      <c r="C231" s="6" t="n">
        <v>-21.6</v>
      </c>
      <c r="D231" s="16" t="s">
        <v>459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45196</v>
      </c>
      <c r="B232" s="6" t="n">
        <v>-59.96</v>
      </c>
      <c r="C232" s="6" t="n">
        <v>-59.96</v>
      </c>
      <c r="D232" s="16" t="s">
        <v>460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45196.421828704</v>
      </c>
      <c r="B233" s="6" t="n">
        <v>75</v>
      </c>
      <c r="C233" s="6" t="n">
        <v>75</v>
      </c>
      <c r="D233" s="16" t="s">
        <v>461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45196.423356481</v>
      </c>
      <c r="B234" s="6" t="n">
        <v>21.6</v>
      </c>
      <c r="C234" s="6" t="n">
        <v>21.6</v>
      </c>
      <c r="D234" s="16" t="s">
        <v>462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45197.764282407</v>
      </c>
      <c r="B235" s="6" t="n">
        <v>59.96</v>
      </c>
      <c r="C235" s="6" t="n">
        <v>59.96</v>
      </c>
      <c r="D235" s="16" t="s">
        <v>404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45198.605358796</v>
      </c>
      <c r="B236" s="6" t="n">
        <v>6000</v>
      </c>
      <c r="C236" s="6" t="n">
        <v>6000</v>
      </c>
      <c r="D236" s="16" t="s">
        <v>350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45203</v>
      </c>
      <c r="B237" s="6" t="n">
        <v>-191.95</v>
      </c>
      <c r="C237" s="6" t="n">
        <v>-191.95</v>
      </c>
      <c r="D237" s="16" t="s">
        <v>463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45203</v>
      </c>
      <c r="B238" s="6" t="n">
        <v>-38.39</v>
      </c>
      <c r="C238" s="6" t="n">
        <v>-38.39</v>
      </c>
      <c r="D238" s="16" t="s">
        <v>406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45204</v>
      </c>
      <c r="B239" s="6" t="n">
        <v>-13.96</v>
      </c>
      <c r="C239" s="6" t="n">
        <v>-13.96</v>
      </c>
      <c r="D239" s="16" t="s">
        <v>464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45204.574386574</v>
      </c>
      <c r="B240" s="6" t="n">
        <v>191.95</v>
      </c>
      <c r="C240" s="6" t="n">
        <v>191.95</v>
      </c>
      <c r="D240" s="16" t="s">
        <v>408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45204.713923611</v>
      </c>
      <c r="B241" s="6" t="n">
        <v>38.39</v>
      </c>
      <c r="C241" s="6" t="n">
        <v>38.39</v>
      </c>
      <c r="D241" s="16" t="s">
        <v>407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45205.486990741</v>
      </c>
      <c r="B242" s="6" t="n">
        <v>13.96</v>
      </c>
      <c r="C242" s="6" t="n">
        <v>13.96</v>
      </c>
      <c r="D242" s="16" t="s">
        <v>355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45209</v>
      </c>
      <c r="B243" s="6" t="n">
        <v>-34.5</v>
      </c>
      <c r="C243" s="6" t="n">
        <v>-34.5</v>
      </c>
      <c r="D243" s="16" t="s">
        <v>465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45210</v>
      </c>
      <c r="B244" s="6" t="n">
        <v>-86.66</v>
      </c>
      <c r="C244" s="6" t="n">
        <v>-86.66</v>
      </c>
      <c r="D244" s="16" t="s">
        <v>466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45210</v>
      </c>
      <c r="B245" s="6" t="n">
        <v>-27.54</v>
      </c>
      <c r="C245" s="6" t="n">
        <v>-27.54</v>
      </c>
      <c r="D245" s="16" t="s">
        <v>467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45211.550127315</v>
      </c>
      <c r="B246" s="6" t="n">
        <v>86.66</v>
      </c>
      <c r="C246" s="6" t="n">
        <v>86.66</v>
      </c>
      <c r="D246" s="16" t="s">
        <v>410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45217</v>
      </c>
      <c r="B247" s="6" t="n">
        <v>-76.3</v>
      </c>
      <c r="C247" s="6" t="n">
        <v>-76.3</v>
      </c>
      <c r="D247" s="16" t="s">
        <v>468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45218.7221875</v>
      </c>
      <c r="B248" s="6" t="n">
        <v>76.3</v>
      </c>
      <c r="C248" s="6" t="n">
        <v>76.3</v>
      </c>
      <c r="D248" s="16" t="s">
        <v>469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45218.773078704</v>
      </c>
      <c r="B249" s="6" t="n">
        <v>5000</v>
      </c>
      <c r="C249" s="6" t="n">
        <v>5000</v>
      </c>
      <c r="D249" s="16" t="s">
        <v>350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45220</v>
      </c>
      <c r="B250" s="6" t="n">
        <v>-22.56</v>
      </c>
      <c r="C250" s="6" t="n">
        <v>-22.56</v>
      </c>
      <c r="D250" s="16" t="s">
        <v>470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45223.662025463</v>
      </c>
      <c r="B251" s="6" t="n">
        <v>22.56</v>
      </c>
      <c r="C251" s="6" t="n">
        <v>22.56</v>
      </c>
      <c r="D251" s="16" t="s">
        <v>454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45224</v>
      </c>
      <c r="B252" s="6" t="n">
        <v>-27.78</v>
      </c>
      <c r="C252" s="6" t="n">
        <v>-27.78</v>
      </c>
      <c r="D252" s="16" t="s">
        <v>471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45224</v>
      </c>
      <c r="B253" s="6" t="n">
        <v>-31.64</v>
      </c>
      <c r="C253" s="6" t="n">
        <v>-31.64</v>
      </c>
      <c r="D253" s="16" t="s">
        <v>472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45224.833194444</v>
      </c>
      <c r="B254" s="6" t="n">
        <v>34.5</v>
      </c>
      <c r="C254" s="6" t="n">
        <v>34.5</v>
      </c>
      <c r="D254" s="16" t="s">
        <v>367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45225.501446759</v>
      </c>
      <c r="B255" s="6" t="n">
        <v>27.78</v>
      </c>
      <c r="C255" s="6" t="n">
        <v>27.78</v>
      </c>
      <c r="D255" s="16" t="s">
        <v>358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45225.530497685</v>
      </c>
      <c r="B256" s="6" t="n">
        <v>31.64</v>
      </c>
      <c r="C256" s="6" t="n">
        <v>31.64</v>
      </c>
      <c r="D256" s="16" t="s">
        <v>473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45225.689537037</v>
      </c>
      <c r="B257" s="6" t="n">
        <v>27.54</v>
      </c>
      <c r="C257" s="6" t="n">
        <v>27.54</v>
      </c>
      <c r="D257" s="16" t="s">
        <v>370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45230</v>
      </c>
      <c r="B258" s="6" t="n">
        <v>-28.22</v>
      </c>
      <c r="C258" s="6" t="n">
        <v>-28.22</v>
      </c>
      <c r="D258" s="16" t="s">
        <v>387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45231</v>
      </c>
      <c r="B259" s="6" t="n">
        <v>-28.73</v>
      </c>
      <c r="C259" s="6" t="n">
        <v>-28.73</v>
      </c>
      <c r="D259" s="16" t="s">
        <v>474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45231.50306713</v>
      </c>
      <c r="B260" s="6" t="n">
        <v>28.22</v>
      </c>
      <c r="C260" s="6" t="n">
        <v>28.22</v>
      </c>
      <c r="D260" s="16" t="s">
        <v>390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45232</v>
      </c>
      <c r="B261" s="6" t="n">
        <v>-42.38</v>
      </c>
      <c r="C261" s="6" t="n">
        <v>-42.38</v>
      </c>
      <c r="D261" s="16" t="s">
        <v>371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45232.572303241</v>
      </c>
      <c r="B262" s="6" t="n">
        <v>28.73</v>
      </c>
      <c r="C262" s="6" t="n">
        <v>28.73</v>
      </c>
      <c r="D262" s="16" t="s">
        <v>475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45233.52806713</v>
      </c>
      <c r="B263" s="6" t="n">
        <v>42.38</v>
      </c>
      <c r="C263" s="6" t="n">
        <v>42.38</v>
      </c>
      <c r="D263" s="16" t="s">
        <v>372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45237.711168981</v>
      </c>
      <c r="B264" s="6" t="n">
        <v>5000</v>
      </c>
      <c r="C264" s="6" t="n">
        <v>5000</v>
      </c>
      <c r="D264" s="16" t="s">
        <v>350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45244.530613426</v>
      </c>
      <c r="B265" s="6" t="n">
        <v>6200</v>
      </c>
      <c r="C265" s="6" t="n">
        <v>6200</v>
      </c>
      <c r="D265" s="16" t="s">
        <v>350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45245</v>
      </c>
      <c r="B266" s="6" t="n">
        <v>-130.29</v>
      </c>
      <c r="C266" s="6" t="n">
        <v>-130.29</v>
      </c>
      <c r="D266" s="16" t="s">
        <v>476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45246.614259259</v>
      </c>
      <c r="B267" s="6" t="n">
        <v>130.29</v>
      </c>
      <c r="C267" s="6" t="n">
        <v>130.29</v>
      </c>
      <c r="D267" s="16" t="s">
        <v>374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45250</v>
      </c>
      <c r="B268" s="6" t="n">
        <v>-64.82</v>
      </c>
      <c r="C268" s="6" t="n">
        <v>-64.82</v>
      </c>
      <c r="D268" s="16" t="s">
        <v>452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45251</v>
      </c>
      <c r="B269" s="6" t="n">
        <v>-23.86</v>
      </c>
      <c r="C269" s="6" t="n">
        <v>-23.86</v>
      </c>
      <c r="D269" s="16" t="s">
        <v>477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45251</v>
      </c>
      <c r="B270" s="6" t="n">
        <v>-250</v>
      </c>
      <c r="C270" s="6" t="n">
        <v>-250</v>
      </c>
      <c r="D270" s="16" t="s">
        <v>375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45251.628472222</v>
      </c>
      <c r="B271" s="6" t="n">
        <v>64.82</v>
      </c>
      <c r="C271" s="6" t="n">
        <v>64.82</v>
      </c>
      <c r="D271" s="16" t="s">
        <v>417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45252</v>
      </c>
      <c r="B272" s="6" t="n">
        <v>-89.8</v>
      </c>
      <c r="C272" s="6" t="n">
        <v>-89.8</v>
      </c>
      <c r="D272" s="16" t="s">
        <v>478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45252</v>
      </c>
      <c r="B273" s="6" t="n">
        <v>-216.9</v>
      </c>
      <c r="C273" s="6" t="n">
        <v>-216.9</v>
      </c>
      <c r="D273" s="16" t="s">
        <v>479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45252</v>
      </c>
      <c r="B274" s="6" t="n">
        <v>-10.72</v>
      </c>
      <c r="C274" s="6" t="n">
        <v>-10.72</v>
      </c>
      <c r="D274" s="16" t="s">
        <v>396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45253</v>
      </c>
      <c r="B275" s="6" t="n">
        <v>-10.83</v>
      </c>
      <c r="C275" s="6" t="n">
        <v>-10.83</v>
      </c>
      <c r="D275" s="16" t="s">
        <v>419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45254.504583333</v>
      </c>
      <c r="B276" s="6" t="n">
        <v>23.86</v>
      </c>
      <c r="C276" s="6" t="n">
        <v>23.86</v>
      </c>
      <c r="D276" s="16" t="s">
        <v>454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45254.756527778</v>
      </c>
      <c r="B277" s="6" t="n">
        <v>250</v>
      </c>
      <c r="C277" s="6" t="n">
        <v>250</v>
      </c>
      <c r="D277" s="16" t="s">
        <v>377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45254.761284722</v>
      </c>
      <c r="B278" s="6" t="n">
        <v>10.72</v>
      </c>
      <c r="C278" s="6" t="n">
        <v>10.72</v>
      </c>
      <c r="D278" s="16" t="s">
        <v>352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45257.499155093</v>
      </c>
      <c r="B279" s="6" t="n">
        <v>216.9</v>
      </c>
      <c r="C279" s="6" t="n">
        <v>216.9</v>
      </c>
      <c r="D279" s="16" t="s">
        <v>378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45257.56849537</v>
      </c>
      <c r="B280" s="6" t="n">
        <v>89.8</v>
      </c>
      <c r="C280" s="6" t="n">
        <v>89.8</v>
      </c>
      <c r="D280" s="16" t="s">
        <v>480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45258.448344907</v>
      </c>
      <c r="B281" s="6" t="n">
        <v>10.83</v>
      </c>
      <c r="C281" s="6" t="n">
        <v>10.83</v>
      </c>
      <c r="D281" s="16" t="s">
        <v>422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45261</v>
      </c>
      <c r="B282" s="6" t="n">
        <v>-24.81</v>
      </c>
      <c r="C282" s="6" t="n">
        <v>-24.81</v>
      </c>
      <c r="D282" s="16" t="s">
        <v>379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45261</v>
      </c>
      <c r="B283" s="6" t="n">
        <v>-108.93</v>
      </c>
      <c r="C283" s="6" t="n">
        <v>-108.93</v>
      </c>
      <c r="D283" s="16" t="s">
        <v>481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45265</v>
      </c>
      <c r="B284" s="6" t="n">
        <v>-56.1</v>
      </c>
      <c r="C284" s="6" t="n">
        <v>-56.1</v>
      </c>
      <c r="D284" s="16" t="s">
        <v>482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45265.48869213</v>
      </c>
      <c r="B285" s="6" t="n">
        <v>24.81</v>
      </c>
      <c r="C285" s="6" t="n">
        <v>24.81</v>
      </c>
      <c r="D285" s="16" t="s">
        <v>380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45266</v>
      </c>
      <c r="B286" s="6" t="n">
        <v>-19.87</v>
      </c>
      <c r="C286" s="6" t="n">
        <v>-19.87</v>
      </c>
      <c r="D286" s="16" t="s">
        <v>381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45266</v>
      </c>
      <c r="B287" s="6" t="n">
        <v>-389.4</v>
      </c>
      <c r="C287" s="6" t="n">
        <v>-389.4</v>
      </c>
      <c r="D287" s="16" t="s">
        <v>483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45266</v>
      </c>
      <c r="B288" s="6" t="n">
        <v>-135.33</v>
      </c>
      <c r="C288" s="6" t="n">
        <v>-135.33</v>
      </c>
      <c r="D288" s="16" t="s">
        <v>484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45266</v>
      </c>
      <c r="B289" s="6" t="n">
        <v>-32.66</v>
      </c>
      <c r="C289" s="6" t="n">
        <v>-32.66</v>
      </c>
      <c r="D289" s="16" t="s">
        <v>424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45266.542604167</v>
      </c>
      <c r="B290" s="6" t="n">
        <v>56.1</v>
      </c>
      <c r="C290" s="6" t="n">
        <v>56.1</v>
      </c>
      <c r="D290" s="16" t="s">
        <v>485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45267</v>
      </c>
      <c r="B291" s="6" t="n">
        <v>11200</v>
      </c>
      <c r="C291" s="6" t="n">
        <v>11200</v>
      </c>
      <c r="D291" s="16" t="s">
        <v>350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45268.514965278</v>
      </c>
      <c r="B292" s="6" t="n">
        <v>389.4</v>
      </c>
      <c r="C292" s="6" t="n">
        <v>389.4</v>
      </c>
      <c r="D292" s="16" t="s">
        <v>427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45268.545138889</v>
      </c>
      <c r="B293" s="6" t="n">
        <v>135.33</v>
      </c>
      <c r="C293" s="6" t="n">
        <v>135.33</v>
      </c>
      <c r="D293" s="16" t="s">
        <v>486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45268.741493056</v>
      </c>
      <c r="B294" s="6" t="n">
        <v>19.87</v>
      </c>
      <c r="C294" s="6" t="n">
        <v>19.87</v>
      </c>
      <c r="D294" s="16" t="s">
        <v>382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45268.742384259</v>
      </c>
      <c r="B295" s="6" t="n">
        <v>32.66</v>
      </c>
      <c r="C295" s="6" t="n">
        <v>32.66</v>
      </c>
      <c r="D295" s="16" t="s">
        <v>426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45271</v>
      </c>
      <c r="B296" s="6" t="n">
        <v>-35</v>
      </c>
      <c r="C296" s="6" t="n">
        <v>-35</v>
      </c>
      <c r="D296" s="16" t="s">
        <v>487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45272</v>
      </c>
      <c r="B297" s="6" t="n">
        <v>-31.3</v>
      </c>
      <c r="C297" s="6" t="n">
        <v>-31.3</v>
      </c>
      <c r="D297" s="16" t="s">
        <v>428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45273</v>
      </c>
      <c r="B298" s="6" t="n">
        <v>31.3</v>
      </c>
      <c r="C298" s="6" t="n">
        <v>31.3</v>
      </c>
      <c r="D298" s="16" t="s">
        <v>429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45273</v>
      </c>
      <c r="B299" s="6" t="n">
        <v>35</v>
      </c>
      <c r="C299" s="6" t="n">
        <v>35</v>
      </c>
      <c r="D299" s="16" t="s">
        <v>488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45278.504375</v>
      </c>
      <c r="B300" s="6" t="n">
        <v>108.93</v>
      </c>
      <c r="C300" s="6" t="n">
        <v>108.93</v>
      </c>
      <c r="D300" s="16" t="s">
        <v>489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45280</v>
      </c>
      <c r="B301" s="6" t="n">
        <v>-131.94</v>
      </c>
      <c r="C301" s="6" t="n">
        <v>-131.94</v>
      </c>
      <c r="D301" s="16" t="s">
        <v>490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45281.695243056</v>
      </c>
      <c r="B302" s="6" t="n">
        <v>131.94</v>
      </c>
      <c r="C302" s="6" t="n">
        <v>131.94</v>
      </c>
      <c r="D302" s="16" t="s">
        <v>384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45282</v>
      </c>
      <c r="B303" s="6" t="n">
        <v>-25.92</v>
      </c>
      <c r="C303" s="6" t="n">
        <v>-25.92</v>
      </c>
      <c r="D303" s="16" t="s">
        <v>491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45285</v>
      </c>
      <c r="B304" s="6" t="n">
        <v>-75</v>
      </c>
      <c r="C304" s="6" t="n">
        <v>-75</v>
      </c>
      <c r="D304" s="16" t="s">
        <v>458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45285.746041667</v>
      </c>
      <c r="B305" s="6" t="n">
        <v>25.92</v>
      </c>
      <c r="C305" s="6" t="n">
        <v>25.92</v>
      </c>
      <c r="D305" s="16" t="s">
        <v>454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45286</v>
      </c>
      <c r="B306" s="6" t="n">
        <v>-19.63</v>
      </c>
      <c r="C306" s="6" t="n">
        <v>-19.63</v>
      </c>
      <c r="D306" s="16" t="s">
        <v>492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45288</v>
      </c>
      <c r="B307" s="6" t="n">
        <v>75</v>
      </c>
      <c r="C307" s="6" t="n">
        <v>75</v>
      </c>
      <c r="D307" s="16" t="s">
        <v>461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45288</v>
      </c>
      <c r="B308" s="6" t="n">
        <v>19.63</v>
      </c>
      <c r="C308" s="6" t="n">
        <v>19.63</v>
      </c>
      <c r="D308" s="16" t="s">
        <v>462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45289</v>
      </c>
      <c r="B309" s="6" t="n">
        <v>-65.82</v>
      </c>
      <c r="C309" s="6" t="n">
        <v>-65.82</v>
      </c>
      <c r="D309" s="16" t="s">
        <v>493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45295</v>
      </c>
      <c r="B310" s="6" t="n">
        <v>-13.96</v>
      </c>
      <c r="C310" s="6" t="n">
        <v>-13.96</v>
      </c>
      <c r="D310" s="16" t="s">
        <v>464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45300</v>
      </c>
      <c r="B311" s="6" t="n">
        <v>-35.17</v>
      </c>
      <c r="C311" s="6" t="n">
        <v>-35.17</v>
      </c>
      <c r="D311" s="16" t="s">
        <v>494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45300.855428241</v>
      </c>
      <c r="B312" s="6" t="n">
        <v>65.82</v>
      </c>
      <c r="C312" s="6" t="n">
        <v>65.82</v>
      </c>
      <c r="D312" s="16" t="s">
        <v>495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45302.745868056</v>
      </c>
      <c r="B313" s="6" t="n">
        <v>13.96</v>
      </c>
      <c r="C313" s="6" t="n">
        <v>13.96</v>
      </c>
      <c r="D313" s="16" t="s">
        <v>355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45303.532418981</v>
      </c>
      <c r="B314" s="6" t="n">
        <v>5800</v>
      </c>
      <c r="C314" s="6" t="n">
        <v>5800</v>
      </c>
      <c r="D314" s="16" t="s">
        <v>350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45303.533240741</v>
      </c>
      <c r="B315" s="6" t="n">
        <v>5000</v>
      </c>
      <c r="C315" s="6" t="n">
        <v>5000</v>
      </c>
      <c r="D315" s="16" t="s">
        <v>350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45308</v>
      </c>
      <c r="B316" s="6" t="n">
        <v>-44.88</v>
      </c>
      <c r="C316" s="6" t="n">
        <v>-44.88</v>
      </c>
      <c r="D316" s="16" t="s">
        <v>496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45309</v>
      </c>
      <c r="B317" s="6" t="n">
        <v>44.88</v>
      </c>
      <c r="C317" s="6" t="n">
        <v>44.88</v>
      </c>
      <c r="D317" s="16" t="s">
        <v>497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45313</v>
      </c>
      <c r="B318" s="6" t="n">
        <v>-27.98</v>
      </c>
      <c r="C318" s="6" t="n">
        <v>-27.98</v>
      </c>
      <c r="D318" s="16" t="s">
        <v>498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45314</v>
      </c>
      <c r="B319" s="6" t="n">
        <v>-34.28</v>
      </c>
      <c r="C319" s="6" t="n">
        <v>-34.28</v>
      </c>
      <c r="D319" s="16" t="s">
        <v>499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45314.707534722</v>
      </c>
      <c r="B320" s="6" t="n">
        <v>27.98</v>
      </c>
      <c r="C320" s="6" t="n">
        <v>27.98</v>
      </c>
      <c r="D320" s="16" t="s">
        <v>454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45315</v>
      </c>
      <c r="B321" s="6" t="n">
        <v>-43.38</v>
      </c>
      <c r="C321" s="6" t="n">
        <v>-43.38</v>
      </c>
      <c r="D321" s="16" t="s">
        <v>439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45315</v>
      </c>
      <c r="B322" s="6" t="n">
        <v>-40.7</v>
      </c>
      <c r="C322" s="6" t="n">
        <v>-40.7</v>
      </c>
      <c r="D322" s="16" t="s">
        <v>500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45315</v>
      </c>
      <c r="B323" s="6" t="n">
        <v>-36.81</v>
      </c>
      <c r="C323" s="6" t="n">
        <v>-36.81</v>
      </c>
      <c r="D323" s="16" t="s">
        <v>501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45315.496770833</v>
      </c>
      <c r="B324" s="6" t="n">
        <v>34.28</v>
      </c>
      <c r="C324" s="6" t="n">
        <v>34.28</v>
      </c>
      <c r="D324" s="16" t="s">
        <v>502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45315.680023148</v>
      </c>
      <c r="B325" s="6" t="n">
        <v>35.17</v>
      </c>
      <c r="C325" s="6" t="n">
        <v>35.17</v>
      </c>
      <c r="D325" s="16" t="s">
        <v>370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45316.591030093</v>
      </c>
      <c r="B326" s="6" t="n">
        <v>36.81</v>
      </c>
      <c r="C326" s="6" t="n">
        <v>36.81</v>
      </c>
      <c r="D326" s="16" t="s">
        <v>358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45316.76494213</v>
      </c>
      <c r="B327" s="6" t="n">
        <v>43.38</v>
      </c>
      <c r="C327" s="6" t="n">
        <v>43.38</v>
      </c>
      <c r="D327" s="16" t="s">
        <v>442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45316.778333333</v>
      </c>
      <c r="B328" s="6" t="n">
        <v>40.7</v>
      </c>
      <c r="C328" s="6" t="n">
        <v>40.7</v>
      </c>
      <c r="D328" s="16" t="s">
        <v>473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45317</v>
      </c>
      <c r="B329" s="6" t="n">
        <v>-47.12</v>
      </c>
      <c r="C329" s="6" t="n">
        <v>-47.12</v>
      </c>
      <c r="D329" s="16" t="s">
        <v>503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45320.638599537</v>
      </c>
      <c r="B330" s="6" t="n">
        <v>47.12</v>
      </c>
      <c r="C330" s="6" t="n">
        <v>47.12</v>
      </c>
      <c r="D330" s="16" t="s">
        <v>504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45321</v>
      </c>
      <c r="B331" s="6" t="n">
        <v>-28.22</v>
      </c>
      <c r="C331" s="6" t="n">
        <v>-28.22</v>
      </c>
      <c r="D331" s="16" t="s">
        <v>387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45322</v>
      </c>
      <c r="B332" s="6" t="n">
        <v>-37.33</v>
      </c>
      <c r="C332" s="6" t="n">
        <v>-37.33</v>
      </c>
      <c r="D332" s="16" t="s">
        <v>505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45322</v>
      </c>
      <c r="B333" s="6" t="n">
        <v>-42.53</v>
      </c>
      <c r="C333" s="6" t="n">
        <v>-42.53</v>
      </c>
      <c r="D333" s="16" t="s">
        <v>506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45322</v>
      </c>
      <c r="B334" s="6" t="n">
        <v>-608.4</v>
      </c>
      <c r="C334" s="6" t="n">
        <v>-608.4</v>
      </c>
      <c r="D334" s="16" t="s">
        <v>507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45323</v>
      </c>
      <c r="B335" s="6" t="n">
        <v>28.22</v>
      </c>
      <c r="C335" s="6" t="n">
        <v>28.22</v>
      </c>
      <c r="D335" s="16" t="s">
        <v>390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45323.555613426</v>
      </c>
      <c r="B336" s="6" t="n">
        <v>608.4</v>
      </c>
      <c r="C336" s="6" t="n">
        <v>608.4</v>
      </c>
      <c r="D336" s="16" t="s">
        <v>360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45323.564907407</v>
      </c>
      <c r="B337" s="6" t="n">
        <v>37.33</v>
      </c>
      <c r="C337" s="6" t="n">
        <v>37.33</v>
      </c>
      <c r="D337" s="16" t="s">
        <v>475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45323.606354167</v>
      </c>
      <c r="B338" s="6" t="n">
        <v>42.53</v>
      </c>
      <c r="C338" s="6" t="n">
        <v>42.53</v>
      </c>
      <c r="D338" s="16" t="s">
        <v>391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45324</v>
      </c>
      <c r="B339" s="6" t="n">
        <v>11200</v>
      </c>
      <c r="C339" s="6" t="n">
        <v>11200</v>
      </c>
      <c r="D339" s="16" t="s">
        <v>350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45325</v>
      </c>
      <c r="B340" s="6" t="n">
        <v>-53.1</v>
      </c>
      <c r="C340" s="6" t="n">
        <v>-53.1</v>
      </c>
      <c r="D340" s="16" t="s">
        <v>448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45329</v>
      </c>
      <c r="B341" s="6" t="n">
        <v>53.1</v>
      </c>
      <c r="C341" s="6" t="n">
        <v>53.1</v>
      </c>
      <c r="D341" s="16" t="s">
        <v>393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45336</v>
      </c>
      <c r="B342" s="6" t="n">
        <v>-418.8</v>
      </c>
      <c r="C342" s="6" t="n">
        <v>-418.8</v>
      </c>
      <c r="D342" s="16" t="s">
        <v>508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45337.5221875</v>
      </c>
      <c r="B343" s="6" t="n">
        <v>418.8</v>
      </c>
      <c r="C343" s="6" t="n">
        <v>418.8</v>
      </c>
      <c r="D343" s="16" t="s">
        <v>395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45338</v>
      </c>
      <c r="B344" s="6" t="n">
        <v>-51.61</v>
      </c>
      <c r="C344" s="6" t="n">
        <v>-51.61</v>
      </c>
      <c r="D344" s="16" t="s">
        <v>450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45341</v>
      </c>
      <c r="B345" s="6" t="n">
        <v>-64.82</v>
      </c>
      <c r="C345" s="6" t="n">
        <v>-64.82</v>
      </c>
      <c r="D345" s="16" t="s">
        <v>452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45341.639548611</v>
      </c>
      <c r="B346" s="6" t="n">
        <v>51.61</v>
      </c>
      <c r="C346" s="6" t="n">
        <v>51.61</v>
      </c>
      <c r="D346" s="16" t="s">
        <v>453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45342.490011574</v>
      </c>
      <c r="B347" s="6" t="n">
        <v>64.82</v>
      </c>
      <c r="C347" s="6" t="n">
        <v>64.82</v>
      </c>
      <c r="D347" s="16" t="s">
        <v>417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45343</v>
      </c>
      <c r="B348" s="6" t="n">
        <v>-5.36</v>
      </c>
      <c r="C348" s="6" t="n">
        <v>-5.36</v>
      </c>
      <c r="D348" s="16" t="s">
        <v>509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45343</v>
      </c>
      <c r="B349" s="6" t="n">
        <v>-125</v>
      </c>
      <c r="C349" s="6" t="n">
        <v>-125</v>
      </c>
      <c r="D349" s="16" t="s">
        <v>510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45344</v>
      </c>
      <c r="B350" s="6" t="n">
        <v>-10.83</v>
      </c>
      <c r="C350" s="6" t="n">
        <v>-10.83</v>
      </c>
      <c r="D350" s="16" t="s">
        <v>419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45344</v>
      </c>
      <c r="B351" s="6" t="n">
        <v>-28.6</v>
      </c>
      <c r="C351" s="6" t="n">
        <v>-28.6</v>
      </c>
      <c r="D351" s="16" t="s">
        <v>511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45344.564074074</v>
      </c>
      <c r="B352" s="6" t="n">
        <v>5.36</v>
      </c>
      <c r="C352" s="6" t="n">
        <v>5.36</v>
      </c>
      <c r="D352" s="16" t="s">
        <v>352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45348.507766204</v>
      </c>
      <c r="B353" s="6" t="n">
        <v>125</v>
      </c>
      <c r="C353" s="6" t="n">
        <v>125</v>
      </c>
      <c r="D353" s="16" t="s">
        <v>512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45348.508842593</v>
      </c>
      <c r="B354" s="6" t="n">
        <v>10.83</v>
      </c>
      <c r="C354" s="6" t="n">
        <v>10.83</v>
      </c>
      <c r="D354" s="16" t="s">
        <v>422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45348.536018519</v>
      </c>
      <c r="B355" s="6" t="n">
        <v>28.6</v>
      </c>
      <c r="C355" s="6" t="n">
        <v>28.6</v>
      </c>
      <c r="D355" s="16" t="s">
        <v>454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45351.541527778</v>
      </c>
      <c r="B356" s="6" t="n">
        <v>11000</v>
      </c>
      <c r="C356" s="6" t="n">
        <v>11000</v>
      </c>
      <c r="D356" s="16" t="s">
        <v>350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45352</v>
      </c>
      <c r="B357" s="6" t="n">
        <v>-24.81</v>
      </c>
      <c r="C357" s="6" t="n">
        <v>-24.81</v>
      </c>
      <c r="D357" s="16" t="s">
        <v>379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45355.568275463</v>
      </c>
      <c r="B358" s="6" t="n">
        <v>24.81</v>
      </c>
      <c r="C358" s="6" t="n">
        <v>24.81</v>
      </c>
      <c r="D358" s="16" t="s">
        <v>380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45356.416666667</v>
      </c>
      <c r="B359" s="6" t="n">
        <v>-16605</v>
      </c>
      <c r="C359" s="6" t="n">
        <v>0</v>
      </c>
      <c r="D359" s="16" t="s">
        <v>400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45356.5375</v>
      </c>
      <c r="B360" s="6" t="n">
        <v>16605</v>
      </c>
      <c r="C360" s="6" t="n">
        <v>16605</v>
      </c>
      <c r="D360" s="16" t="s">
        <v>350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45357</v>
      </c>
      <c r="B361" s="6" t="n">
        <v>-67</v>
      </c>
      <c r="C361" s="6" t="n">
        <v>-67</v>
      </c>
      <c r="D361" s="16" t="s">
        <v>513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45357</v>
      </c>
      <c r="B362" s="6" t="n">
        <v>-19.87</v>
      </c>
      <c r="C362" s="6" t="n">
        <v>-19.87</v>
      </c>
      <c r="D362" s="16" t="s">
        <v>381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45357</v>
      </c>
      <c r="B363" s="6" t="n">
        <v>-45.97</v>
      </c>
      <c r="C363" s="6" t="n">
        <v>-45.97</v>
      </c>
      <c r="D363" s="16" t="s">
        <v>514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45358</v>
      </c>
      <c r="B364" s="6" t="n">
        <v>-14.76</v>
      </c>
      <c r="C364" s="6" t="n">
        <v>-14.76</v>
      </c>
      <c r="D364" s="16" t="s">
        <v>515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45358.550046296</v>
      </c>
      <c r="B365" s="6" t="n">
        <v>19.87</v>
      </c>
      <c r="C365" s="6" t="n">
        <v>19.87</v>
      </c>
      <c r="D365" s="16" t="s">
        <v>382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45358.579421296</v>
      </c>
      <c r="B366" s="6" t="n">
        <v>45.97</v>
      </c>
      <c r="C366" s="6" t="n">
        <v>45.97</v>
      </c>
      <c r="D366" s="16" t="s">
        <v>398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45362.513171296</v>
      </c>
      <c r="B367" s="6" t="n">
        <v>67</v>
      </c>
      <c r="C367" s="6" t="n">
        <v>67</v>
      </c>
      <c r="D367" s="16" t="s">
        <v>516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45362.515856481</v>
      </c>
      <c r="B368" s="6" t="n">
        <v>14.76</v>
      </c>
      <c r="C368" s="6" t="n">
        <v>14.76</v>
      </c>
      <c r="D368" s="16" t="s">
        <v>517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45370</v>
      </c>
      <c r="B369" s="6" t="n">
        <v>-39.39</v>
      </c>
      <c r="C369" s="6" t="n">
        <v>-39.39</v>
      </c>
      <c r="D369" s="16" t="s">
        <v>399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45371</v>
      </c>
      <c r="B370" s="6" t="n">
        <v>-235.36</v>
      </c>
      <c r="C370" s="6" t="n">
        <v>-235.36</v>
      </c>
      <c r="D370" s="16" t="s">
        <v>518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45371.575219907</v>
      </c>
      <c r="B371" s="6" t="n">
        <v>39.39</v>
      </c>
      <c r="C371" s="6" t="n">
        <v>39.39</v>
      </c>
      <c r="D371" s="16" t="s">
        <v>402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45372</v>
      </c>
      <c r="B372" s="6" t="n">
        <v>-14.54</v>
      </c>
      <c r="C372" s="6" t="n">
        <v>-14.54</v>
      </c>
      <c r="D372" s="16" t="s">
        <v>519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45372.466666667</v>
      </c>
      <c r="B373" s="6" t="n">
        <v>235.36</v>
      </c>
      <c r="C373" s="6" t="n">
        <v>235.36</v>
      </c>
      <c r="D373" s="16" t="s">
        <v>362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45373.537708333</v>
      </c>
      <c r="B374" s="6" t="n">
        <v>14.54</v>
      </c>
      <c r="C374" s="6" t="n">
        <v>14.54</v>
      </c>
      <c r="D374" s="16" t="s">
        <v>520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45375</v>
      </c>
      <c r="B375" s="6" t="n">
        <v>-29.5</v>
      </c>
      <c r="C375" s="6" t="n">
        <v>-29.5</v>
      </c>
      <c r="D375" s="16" t="s">
        <v>521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45376</v>
      </c>
      <c r="B376" s="6" t="n">
        <v>-75</v>
      </c>
      <c r="C376" s="6" t="n">
        <v>-75</v>
      </c>
      <c r="D376" s="16" t="s">
        <v>458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45377</v>
      </c>
      <c r="B377" s="6" t="n">
        <v>-17.67</v>
      </c>
      <c r="C377" s="6" t="n">
        <v>-17.67</v>
      </c>
      <c r="D377" s="16" t="s">
        <v>522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45377</v>
      </c>
      <c r="B378" s="6" t="n">
        <v>-44.09</v>
      </c>
      <c r="C378" s="6" t="n">
        <v>-44.09</v>
      </c>
      <c r="D378" s="16" t="s">
        <v>523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45377.668043981</v>
      </c>
      <c r="B379" s="6" t="n">
        <v>29.5</v>
      </c>
      <c r="C379" s="6" t="n">
        <v>29.5</v>
      </c>
      <c r="D379" s="16" t="s">
        <v>454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45378</v>
      </c>
      <c r="B380" s="6" t="n">
        <v>-62.64</v>
      </c>
      <c r="C380" s="6" t="n">
        <v>-62.64</v>
      </c>
      <c r="D380" s="16" t="s">
        <v>524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45378</v>
      </c>
      <c r="B381" s="6" t="n">
        <v>-189.88</v>
      </c>
      <c r="C381" s="6" t="n">
        <v>-189.88</v>
      </c>
      <c r="D381" s="16" t="s">
        <v>525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45378</v>
      </c>
      <c r="B382" s="6" t="n">
        <v>-84.76</v>
      </c>
      <c r="C382" s="6" t="n">
        <v>-84.76</v>
      </c>
      <c r="D382" s="16" t="s">
        <v>526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45378.456585648</v>
      </c>
      <c r="B383" s="6" t="n">
        <v>75</v>
      </c>
      <c r="C383" s="6" t="n">
        <v>75</v>
      </c>
      <c r="D383" s="16" t="s">
        <v>461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45378.458136574</v>
      </c>
      <c r="B384" s="6" t="n">
        <v>17.67</v>
      </c>
      <c r="C384" s="6" t="n">
        <v>17.67</v>
      </c>
      <c r="D384" s="16" t="s">
        <v>462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45379.431782407</v>
      </c>
      <c r="B385" s="6" t="n">
        <v>189.88</v>
      </c>
      <c r="C385" s="6" t="n">
        <v>189.88</v>
      </c>
      <c r="D385" s="16" t="s">
        <v>527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45379.552268519</v>
      </c>
      <c r="B386" s="6" t="n">
        <v>84.76</v>
      </c>
      <c r="C386" s="6" t="n">
        <v>84.76</v>
      </c>
      <c r="D386" s="16" t="s">
        <v>528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45379.736527778</v>
      </c>
      <c r="B387" s="6" t="n">
        <v>62.64</v>
      </c>
      <c r="C387" s="6" t="n">
        <v>62.64</v>
      </c>
      <c r="D387" s="16" t="s">
        <v>404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45385</v>
      </c>
      <c r="B388" s="6" t="n">
        <v>-76.78</v>
      </c>
      <c r="C388" s="6" t="n">
        <v>-76.78</v>
      </c>
      <c r="D388" s="16" t="s">
        <v>529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45385</v>
      </c>
      <c r="B389" s="6" t="n">
        <v>-499.07</v>
      </c>
      <c r="C389" s="6" t="n">
        <v>-499.07</v>
      </c>
      <c r="D389" s="16" t="s">
        <v>530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45386</v>
      </c>
      <c r="B390" s="6" t="n">
        <v>-13.96</v>
      </c>
      <c r="C390" s="6" t="n">
        <v>-13.96</v>
      </c>
      <c r="D390" s="16" t="s">
        <v>464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45386.43275463</v>
      </c>
      <c r="B391" s="6" t="n">
        <v>499.07</v>
      </c>
      <c r="C391" s="6" t="n">
        <v>499.07</v>
      </c>
      <c r="D391" s="16" t="s">
        <v>408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45386.463101852</v>
      </c>
      <c r="B392" s="6" t="n">
        <v>76.78</v>
      </c>
      <c r="C392" s="6" t="n">
        <v>76.78</v>
      </c>
      <c r="D392" s="16" t="s">
        <v>407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45387.659733796</v>
      </c>
      <c r="B393" s="6" t="n">
        <v>11200</v>
      </c>
      <c r="C393" s="6" t="n">
        <v>11200</v>
      </c>
      <c r="D393" s="16" t="s">
        <v>350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45387.660428241</v>
      </c>
      <c r="B394" s="6" t="n">
        <v>13.96</v>
      </c>
      <c r="C394" s="6" t="n">
        <v>13.96</v>
      </c>
      <c r="D394" s="16" t="s">
        <v>355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45392</v>
      </c>
      <c r="B395" s="6" t="n">
        <v>-102.62</v>
      </c>
      <c r="C395" s="6" t="n">
        <v>-102.62</v>
      </c>
      <c r="D395" s="16" t="s">
        <v>531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45393.534456019</v>
      </c>
      <c r="B396" s="6" t="n">
        <v>44.09</v>
      </c>
      <c r="C396" s="6" t="n">
        <v>44.09</v>
      </c>
      <c r="D396" s="16" t="s">
        <v>532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45394</v>
      </c>
      <c r="B397" s="6" t="n">
        <v>102.62</v>
      </c>
      <c r="C397" s="6" t="n">
        <v>102.62</v>
      </c>
      <c r="D397" s="16" t="s">
        <v>410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45399</v>
      </c>
      <c r="B398" s="6" t="n">
        <v>-190.75</v>
      </c>
      <c r="C398" s="6" t="n">
        <v>-190.75</v>
      </c>
      <c r="D398" s="16" t="s">
        <v>533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45400.511331019</v>
      </c>
      <c r="B399" s="6" t="n">
        <v>190.75</v>
      </c>
      <c r="C399" s="6" t="n">
        <v>190.75</v>
      </c>
      <c r="D399" s="16" t="s">
        <v>469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45403</v>
      </c>
      <c r="B400" s="6" t="n">
        <v>-14.43</v>
      </c>
      <c r="C400" s="6" t="n">
        <v>-14.43</v>
      </c>
      <c r="D400" s="16" t="s">
        <v>534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45405</v>
      </c>
      <c r="B401" s="6" t="n">
        <v>-34.28</v>
      </c>
      <c r="C401" s="6" t="n">
        <v>-34.28</v>
      </c>
      <c r="D401" s="16" t="s">
        <v>499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45405</v>
      </c>
      <c r="B402" s="6" t="n">
        <v>-1000</v>
      </c>
      <c r="C402" s="6" t="n">
        <v>-1000</v>
      </c>
      <c r="D402" s="16" t="s">
        <v>535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45405.559131944</v>
      </c>
      <c r="B403" s="6" t="n">
        <v>14.43</v>
      </c>
      <c r="C403" s="6" t="n">
        <v>14.43</v>
      </c>
      <c r="D403" s="16" t="s">
        <v>520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45406</v>
      </c>
      <c r="B404" s="6" t="n">
        <v>-29.18</v>
      </c>
      <c r="C404" s="6" t="n">
        <v>-29.18</v>
      </c>
      <c r="D404" s="16" t="s">
        <v>536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45406</v>
      </c>
      <c r="B405" s="6" t="n">
        <v>-43.1</v>
      </c>
      <c r="C405" s="6" t="n">
        <v>-43.1</v>
      </c>
      <c r="D405" s="16" t="s">
        <v>537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45406</v>
      </c>
      <c r="B406" s="6" t="n">
        <v>-39.13</v>
      </c>
      <c r="C406" s="6" t="n">
        <v>-39.13</v>
      </c>
      <c r="D406" s="16" t="s">
        <v>538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45406.504560185</v>
      </c>
      <c r="B407" s="6" t="n">
        <v>34.28</v>
      </c>
      <c r="C407" s="6" t="n">
        <v>34.28</v>
      </c>
      <c r="D407" s="16" t="s">
        <v>502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45407.503784722</v>
      </c>
      <c r="B408" s="6" t="n">
        <v>39.13</v>
      </c>
      <c r="C408" s="6" t="n">
        <v>39.13</v>
      </c>
      <c r="D408" s="16" t="s">
        <v>358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45407.567141204</v>
      </c>
      <c r="B409" s="6" t="n">
        <v>1000</v>
      </c>
      <c r="C409" s="6" t="n">
        <v>1000</v>
      </c>
      <c r="D409" s="16" t="s">
        <v>539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45407.662430556</v>
      </c>
      <c r="B410" s="6" t="n">
        <v>29.18</v>
      </c>
      <c r="C410" s="6" t="n">
        <v>29.18</v>
      </c>
      <c r="D410" s="16" t="s">
        <v>454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45407.757743056</v>
      </c>
      <c r="B411" s="6" t="n">
        <v>43.1</v>
      </c>
      <c r="C411" s="6" t="n">
        <v>43.1</v>
      </c>
      <c r="D411" s="16" t="s">
        <v>473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45412</v>
      </c>
      <c r="B412" s="6" t="n">
        <v>-28.22</v>
      </c>
      <c r="C412" s="6" t="n">
        <v>-28.22</v>
      </c>
      <c r="D412" s="16" t="s">
        <v>387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45413</v>
      </c>
      <c r="B413" s="6" t="n">
        <v>-39.1</v>
      </c>
      <c r="C413" s="6" t="n">
        <v>-39.1</v>
      </c>
      <c r="D413" s="16" t="s">
        <v>540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45414</v>
      </c>
      <c r="B414" s="6" t="n">
        <v>-42.38</v>
      </c>
      <c r="C414" s="6" t="n">
        <v>-42.38</v>
      </c>
      <c r="D414" s="16" t="s">
        <v>371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45415.462268519</v>
      </c>
      <c r="B415" s="6" t="n">
        <v>42.38</v>
      </c>
      <c r="C415" s="6" t="n">
        <v>42.38</v>
      </c>
      <c r="D415" s="16" t="s">
        <v>372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45415.589467593</v>
      </c>
      <c r="B416" s="6" t="n">
        <v>39.1</v>
      </c>
      <c r="C416" s="6" t="n">
        <v>39.1</v>
      </c>
      <c r="D416" s="16" t="s">
        <v>475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45415.72900463</v>
      </c>
      <c r="B417" s="6" t="n">
        <v>28.22</v>
      </c>
      <c r="C417" s="6" t="n">
        <v>28.22</v>
      </c>
      <c r="D417" s="16" t="s">
        <v>390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45418.454618056</v>
      </c>
      <c r="B418" s="6" t="n">
        <v>11000</v>
      </c>
      <c r="C418" s="6" t="n">
        <v>11000</v>
      </c>
      <c r="D418" s="16" t="s">
        <v>350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45427</v>
      </c>
      <c r="B419" s="6" t="n">
        <v>-173.52</v>
      </c>
      <c r="C419" s="6" t="n">
        <v>-173.52</v>
      </c>
      <c r="D419" s="16" t="s">
        <v>541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45427</v>
      </c>
      <c r="B420" s="6" t="n">
        <v>-4.67</v>
      </c>
      <c r="C420" s="6" t="n">
        <v>-4.67</v>
      </c>
      <c r="D420" s="16" t="s">
        <v>542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45428.461145833</v>
      </c>
      <c r="B421" s="6" t="n">
        <v>173.52</v>
      </c>
      <c r="C421" s="6" t="n">
        <v>173.52</v>
      </c>
      <c r="D421" s="16" t="s">
        <v>374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45428.524108796</v>
      </c>
      <c r="B422" s="6" t="n">
        <v>4.67</v>
      </c>
      <c r="C422" s="6" t="n">
        <v>4.67</v>
      </c>
      <c r="D422" s="16" t="s">
        <v>543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45431</v>
      </c>
      <c r="B423" s="6" t="n">
        <v>-300</v>
      </c>
      <c r="C423" s="6" t="n">
        <v>-300</v>
      </c>
      <c r="D423" s="16" t="s">
        <v>544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45432</v>
      </c>
      <c r="B424" s="6" t="n">
        <v>-64.82</v>
      </c>
      <c r="C424" s="6" t="n">
        <v>-64.82</v>
      </c>
      <c r="D424" s="16" t="s">
        <v>452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45433.579652778</v>
      </c>
      <c r="B425" s="6" t="n">
        <v>300</v>
      </c>
      <c r="C425" s="6" t="n">
        <v>300</v>
      </c>
      <c r="D425" s="16" t="s">
        <v>545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45433.580532407</v>
      </c>
      <c r="B426" s="6" t="n">
        <v>64.82</v>
      </c>
      <c r="C426" s="6" t="n">
        <v>64.82</v>
      </c>
      <c r="D426" s="16" t="s">
        <v>417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45434</v>
      </c>
      <c r="B427" s="6" t="n">
        <v>-81.78</v>
      </c>
      <c r="C427" s="6" t="n">
        <v>-81.78</v>
      </c>
      <c r="D427" s="16" t="s">
        <v>546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45434</v>
      </c>
      <c r="B428" s="6" t="n">
        <v>-14.4</v>
      </c>
      <c r="C428" s="6" t="n">
        <v>-14.4</v>
      </c>
      <c r="D428" s="16" t="s">
        <v>547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45434</v>
      </c>
      <c r="B429" s="6" t="n">
        <v>-5.36</v>
      </c>
      <c r="C429" s="6" t="n">
        <v>-5.36</v>
      </c>
      <c r="D429" s="16" t="s">
        <v>509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45434</v>
      </c>
      <c r="B430" s="6" t="n">
        <v>-325.35</v>
      </c>
      <c r="C430" s="6" t="n">
        <v>-325.35</v>
      </c>
      <c r="D430" s="16" t="s">
        <v>548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45435</v>
      </c>
      <c r="B431" s="6" t="n">
        <v>-8.66</v>
      </c>
      <c r="C431" s="6" t="n">
        <v>-8.66</v>
      </c>
      <c r="D431" s="16" t="s">
        <v>549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45435.526087963</v>
      </c>
      <c r="B432" s="6" t="n">
        <v>325.35</v>
      </c>
      <c r="C432" s="6" t="n">
        <v>325.35</v>
      </c>
      <c r="D432" s="16" t="s">
        <v>378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45435.662974537</v>
      </c>
      <c r="B433" s="6" t="n">
        <v>14.4</v>
      </c>
      <c r="C433" s="6" t="n">
        <v>14.4</v>
      </c>
      <c r="D433" s="16" t="s">
        <v>520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45435.687453704</v>
      </c>
      <c r="B434" s="6" t="n">
        <v>81.78</v>
      </c>
      <c r="C434" s="6" t="n">
        <v>81.78</v>
      </c>
      <c r="D434" s="16" t="s">
        <v>480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45435.698819444</v>
      </c>
      <c r="B435" s="6" t="n">
        <v>5.36</v>
      </c>
      <c r="C435" s="6" t="n">
        <v>5.36</v>
      </c>
      <c r="D435" s="16" t="s">
        <v>352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45436.507858796</v>
      </c>
      <c r="B436" s="6" t="n">
        <v>8.66</v>
      </c>
      <c r="C436" s="6" t="n">
        <v>8.66</v>
      </c>
      <c r="D436" s="16" t="s">
        <v>422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45437</v>
      </c>
      <c r="B437" s="6" t="n">
        <v>-29.14</v>
      </c>
      <c r="C437" s="6" t="n">
        <v>-29.14</v>
      </c>
      <c r="D437" s="16" t="s">
        <v>550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45440.676631944</v>
      </c>
      <c r="B438" s="6" t="n">
        <v>29.14</v>
      </c>
      <c r="C438" s="6" t="n">
        <v>29.14</v>
      </c>
      <c r="D438" s="16" t="s">
        <v>454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45441</v>
      </c>
      <c r="B439" s="6" t="n">
        <v>-284.22</v>
      </c>
      <c r="C439" s="6" t="n">
        <v>-284.22</v>
      </c>
      <c r="D439" s="16" t="s">
        <v>551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45442.446111111</v>
      </c>
      <c r="B440" s="6" t="n">
        <v>284.22</v>
      </c>
      <c r="C440" s="6" t="n">
        <v>284.22</v>
      </c>
      <c r="D440" s="16" t="s">
        <v>552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45443</v>
      </c>
      <c r="B441" s="6" t="n">
        <v>-24.81</v>
      </c>
      <c r="C441" s="6" t="n">
        <v>-24.81</v>
      </c>
      <c r="D441" s="16" t="s">
        <v>379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45446</v>
      </c>
      <c r="B442" s="6" t="n">
        <v>-19.95</v>
      </c>
      <c r="C442" s="6" t="n">
        <v>-19.95</v>
      </c>
      <c r="D442" s="16" t="s">
        <v>553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45446</v>
      </c>
      <c r="B443" s="6" t="n">
        <v>-325.999263608</v>
      </c>
      <c r="C443" s="6" t="n">
        <v>-325.999263608</v>
      </c>
      <c r="D443" s="16" t="s">
        <v>554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45446.464988426</v>
      </c>
      <c r="B444" s="6" t="n">
        <v>24.81</v>
      </c>
      <c r="C444" s="6" t="n">
        <v>24.81</v>
      </c>
      <c r="D444" s="16" t="s">
        <v>380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45446.537881944</v>
      </c>
      <c r="B445" s="6" t="n">
        <v>11200</v>
      </c>
      <c r="C445" s="6" t="n">
        <v>11200</v>
      </c>
      <c r="D445" s="16" t="s">
        <v>350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45447</v>
      </c>
      <c r="B446" s="6" t="n">
        <v>-56.1</v>
      </c>
      <c r="C446" s="6" t="n">
        <v>-56.1</v>
      </c>
      <c r="D446" s="16" t="s">
        <v>482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45447.633923611</v>
      </c>
      <c r="B447" s="6" t="n">
        <v>19.95</v>
      </c>
      <c r="C447" s="6" t="n">
        <v>19.95</v>
      </c>
      <c r="D447" s="16" t="s">
        <v>555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45448</v>
      </c>
      <c r="B448" s="6" t="n">
        <v>-65.32</v>
      </c>
      <c r="C448" s="6" t="n">
        <v>-65.32</v>
      </c>
      <c r="D448" s="16" t="s">
        <v>556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45448</v>
      </c>
      <c r="B449" s="6" t="n">
        <v>-19.87</v>
      </c>
      <c r="C449" s="6" t="n">
        <v>-19.87</v>
      </c>
      <c r="D449" s="16" t="s">
        <v>381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45448</v>
      </c>
      <c r="B450" s="6" t="n">
        <v>-390.96</v>
      </c>
      <c r="C450" s="6" t="n">
        <v>-390.96</v>
      </c>
      <c r="D450" s="16" t="s">
        <v>557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45448</v>
      </c>
      <c r="B451" s="6" t="n">
        <v>-637.2</v>
      </c>
      <c r="C451" s="6" t="n">
        <v>-637.2</v>
      </c>
      <c r="D451" s="16" t="s">
        <v>558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45448</v>
      </c>
      <c r="B452" s="6" t="n">
        <v>-67</v>
      </c>
      <c r="C452" s="6" t="n">
        <v>-67</v>
      </c>
      <c r="D452" s="16" t="s">
        <v>513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45448.580787037</v>
      </c>
      <c r="B453" s="6" t="n">
        <v>56.1</v>
      </c>
      <c r="C453" s="6" t="n">
        <v>56.1</v>
      </c>
      <c r="D453" s="16" t="s">
        <v>485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45449</v>
      </c>
      <c r="B454" s="6" t="n">
        <v>-13.11</v>
      </c>
      <c r="C454" s="6" t="n">
        <v>-13.11</v>
      </c>
      <c r="D454" s="16" t="s">
        <v>559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45449.425752315</v>
      </c>
      <c r="B455" s="6" t="n">
        <v>637.2</v>
      </c>
      <c r="C455" s="6" t="n">
        <v>637.2</v>
      </c>
      <c r="D455" s="16" t="s">
        <v>427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45449.482881944</v>
      </c>
      <c r="B456" s="6" t="n">
        <v>390.96</v>
      </c>
      <c r="C456" s="6" t="n">
        <v>390.96</v>
      </c>
      <c r="D456" s="16" t="s">
        <v>486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45449.670300926</v>
      </c>
      <c r="B457" s="6" t="n">
        <v>19.87</v>
      </c>
      <c r="C457" s="6" t="n">
        <v>19.87</v>
      </c>
      <c r="D457" s="16" t="s">
        <v>382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45449.671354167</v>
      </c>
      <c r="B458" s="6" t="n">
        <v>65.32</v>
      </c>
      <c r="C458" s="6" t="n">
        <v>65.32</v>
      </c>
      <c r="D458" s="16" t="s">
        <v>426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45450.442164352</v>
      </c>
      <c r="B459" s="6" t="n">
        <v>67</v>
      </c>
      <c r="C459" s="6" t="n">
        <v>67</v>
      </c>
      <c r="D459" s="16" t="s">
        <v>516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45450.444548611</v>
      </c>
      <c r="B460" s="6" t="n">
        <v>13.11</v>
      </c>
      <c r="C460" s="6" t="n">
        <v>13.11</v>
      </c>
      <c r="D460" s="16" t="s">
        <v>517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45453</v>
      </c>
      <c r="B461" s="6" t="n">
        <v>-82.56</v>
      </c>
      <c r="C461" s="6" t="n">
        <v>-82.56</v>
      </c>
      <c r="D461" s="16" t="s">
        <v>560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45454</v>
      </c>
      <c r="B462" s="6" t="n">
        <v>-30.12</v>
      </c>
      <c r="C462" s="6" t="n">
        <v>-30.12</v>
      </c>
      <c r="D462" s="16" t="s">
        <v>561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45456.622650463</v>
      </c>
      <c r="B463" s="6" t="n">
        <v>30.12</v>
      </c>
      <c r="C463" s="6" t="n">
        <v>30.12</v>
      </c>
      <c r="D463" s="16" t="s">
        <v>429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45457</v>
      </c>
      <c r="B464" s="6" t="n">
        <v>-173.5</v>
      </c>
      <c r="C464" s="6" t="n">
        <v>-173.5</v>
      </c>
      <c r="D464" s="16" t="s">
        <v>562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45462</v>
      </c>
      <c r="B465" s="6" t="n">
        <v>-460.39</v>
      </c>
      <c r="C465" s="6" t="n">
        <v>-460.39</v>
      </c>
      <c r="D465" s="16" t="s">
        <v>563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45462.718715278</v>
      </c>
      <c r="B466" s="6" t="n">
        <v>326</v>
      </c>
      <c r="C466" s="6" t="n">
        <v>326</v>
      </c>
      <c r="D466" s="16" t="s">
        <v>430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45463.543993056</v>
      </c>
      <c r="B467" s="6" t="n">
        <v>460.39</v>
      </c>
      <c r="C467" s="6" t="n">
        <v>460.39</v>
      </c>
      <c r="D467" s="16" t="s">
        <v>384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45465</v>
      </c>
      <c r="B468" s="6" t="n">
        <v>-14.58</v>
      </c>
      <c r="C468" s="6" t="n">
        <v>-14.58</v>
      </c>
      <c r="D468" s="16" t="s">
        <v>564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45467</v>
      </c>
      <c r="B469" s="6" t="n">
        <v>-150</v>
      </c>
      <c r="C469" s="6" t="n">
        <v>-150</v>
      </c>
      <c r="D469" s="16" t="s">
        <v>565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45468</v>
      </c>
      <c r="B470" s="6" t="n">
        <v>-15.71</v>
      </c>
      <c r="C470" s="6" t="n">
        <v>-15.71</v>
      </c>
      <c r="D470" s="16" t="s">
        <v>566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45468</v>
      </c>
      <c r="B471" s="6" t="n">
        <v>-29.52</v>
      </c>
      <c r="C471" s="6" t="n">
        <v>-29.52</v>
      </c>
      <c r="D471" s="16" t="s">
        <v>567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45468.571076389</v>
      </c>
      <c r="B472" s="6" t="n">
        <v>14.58</v>
      </c>
      <c r="C472" s="6" t="n">
        <v>14.58</v>
      </c>
      <c r="D472" s="16" t="s">
        <v>520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45468.689965278</v>
      </c>
      <c r="B473" s="6" t="n">
        <v>82.56</v>
      </c>
      <c r="C473" s="6" t="n">
        <v>82.56</v>
      </c>
      <c r="D473" s="16" t="s">
        <v>568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45469.47349537</v>
      </c>
      <c r="B474" s="6" t="n">
        <v>150</v>
      </c>
      <c r="C474" s="6" t="n">
        <v>150</v>
      </c>
      <c r="D474" s="16" t="s">
        <v>461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45469.475659722</v>
      </c>
      <c r="B475" s="6" t="n">
        <v>15.71</v>
      </c>
      <c r="C475" s="6" t="n">
        <v>15.71</v>
      </c>
      <c r="D475" s="16" t="s">
        <v>462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45469.590925926</v>
      </c>
      <c r="B476" s="6" t="n">
        <v>29.52</v>
      </c>
      <c r="C476" s="6" t="n">
        <v>29.52</v>
      </c>
      <c r="D476" s="16" t="s">
        <v>454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45470</v>
      </c>
      <c r="B477" s="6" t="n">
        <v>-400</v>
      </c>
      <c r="C477" s="6" t="n">
        <v>-400</v>
      </c>
      <c r="D477" s="16" t="s">
        <v>569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45471</v>
      </c>
      <c r="B478" s="6" t="n">
        <v>-65.82</v>
      </c>
      <c r="C478" s="6" t="n">
        <v>-65.82</v>
      </c>
      <c r="D478" s="16" t="s">
        <v>493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45471</v>
      </c>
      <c r="B479" s="6" t="n">
        <v>11200</v>
      </c>
      <c r="C479" s="6" t="n">
        <v>11200</v>
      </c>
      <c r="D479" s="16" t="s">
        <v>350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45471.675787037</v>
      </c>
      <c r="B480" s="6" t="n">
        <v>173.5</v>
      </c>
      <c r="C480" s="6" t="n">
        <v>173.5</v>
      </c>
      <c r="D480" s="16" t="s">
        <v>433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45474.457997685</v>
      </c>
      <c r="B481" s="6" t="n">
        <v>400</v>
      </c>
      <c r="C481" s="6" t="n">
        <v>400</v>
      </c>
      <c r="D481" s="16" t="s">
        <v>570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45474.459525463</v>
      </c>
      <c r="B482" s="6" t="n">
        <v>65.82</v>
      </c>
      <c r="C482" s="6" t="n">
        <v>65.82</v>
      </c>
      <c r="D482" s="16" t="s">
        <v>495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45476</v>
      </c>
      <c r="B483" s="6" t="n">
        <v>-200</v>
      </c>
      <c r="C483" s="6" t="n">
        <v>-200</v>
      </c>
      <c r="D483" s="16" t="s">
        <v>353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45477</v>
      </c>
      <c r="B484" s="6" t="n">
        <v>-13.96</v>
      </c>
      <c r="C484" s="6" t="n">
        <v>-13.96</v>
      </c>
      <c r="D484" s="16" t="s">
        <v>464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45478.594293981</v>
      </c>
      <c r="B485" s="6" t="n">
        <v>200</v>
      </c>
      <c r="C485" s="6" t="n">
        <v>200</v>
      </c>
      <c r="D485" s="16" t="s">
        <v>356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45478.595763889</v>
      </c>
      <c r="B486" s="6" t="n">
        <v>13.96</v>
      </c>
      <c r="C486" s="6" t="n">
        <v>13.96</v>
      </c>
      <c r="D486" s="16" t="s">
        <v>355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45482</v>
      </c>
      <c r="B487" s="6" t="n">
        <v>-160.38</v>
      </c>
      <c r="C487" s="6" t="n">
        <v>-160.38</v>
      </c>
      <c r="D487" s="16" t="s">
        <v>571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45482</v>
      </c>
      <c r="B488" s="6" t="n">
        <v>-25.17</v>
      </c>
      <c r="C488" s="6" t="n">
        <v>-25.17</v>
      </c>
      <c r="D488" s="16" t="s">
        <v>572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45484</v>
      </c>
      <c r="B489" s="6" t="n">
        <v>-4329</v>
      </c>
      <c r="C489" s="6" t="n">
        <v>-4329</v>
      </c>
      <c r="D489" s="16" t="s">
        <v>573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45484</v>
      </c>
      <c r="B490" s="6" t="n">
        <v>-999</v>
      </c>
      <c r="C490" s="6" t="n">
        <v>-999</v>
      </c>
      <c r="D490" s="16" t="s">
        <v>574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45489</v>
      </c>
      <c r="B491" s="6" t="n">
        <v>-350</v>
      </c>
      <c r="C491" s="6" t="n">
        <v>-350</v>
      </c>
      <c r="D491" s="16" t="s">
        <v>575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45490</v>
      </c>
      <c r="B492" s="6" t="n">
        <v>-44.88</v>
      </c>
      <c r="C492" s="6" t="n">
        <v>-44.88</v>
      </c>
      <c r="D492" s="16" t="s">
        <v>496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45490</v>
      </c>
      <c r="B493" s="6" t="n">
        <v>-52</v>
      </c>
      <c r="C493" s="6" t="n">
        <v>-52</v>
      </c>
      <c r="D493" s="16" t="s">
        <v>576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45491</v>
      </c>
      <c r="B494" s="6" t="n">
        <v>-85</v>
      </c>
      <c r="C494" s="6" t="n">
        <v>-85</v>
      </c>
      <c r="D494" s="16" t="s">
        <v>577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45491</v>
      </c>
      <c r="B495" s="6" t="n">
        <v>-1229</v>
      </c>
      <c r="C495" s="6" t="n">
        <v>-1229</v>
      </c>
      <c r="D495" s="16" t="s">
        <v>578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45491</v>
      </c>
      <c r="B496" s="6" t="n">
        <v>44.88</v>
      </c>
      <c r="C496" s="6" t="n">
        <v>44.88</v>
      </c>
      <c r="D496" s="16" t="s">
        <v>497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45493</v>
      </c>
      <c r="B497" s="6" t="n">
        <v>-112.7</v>
      </c>
      <c r="C497" s="6" t="n">
        <v>-112.7</v>
      </c>
      <c r="D497" s="16" t="s">
        <v>579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45496</v>
      </c>
      <c r="B498" s="6" t="n">
        <v>-34.28</v>
      </c>
      <c r="C498" s="6" t="n">
        <v>-34.28</v>
      </c>
      <c r="D498" s="16" t="s">
        <v>499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45496</v>
      </c>
      <c r="B499" s="6" t="n">
        <v>-14.59</v>
      </c>
      <c r="C499" s="6" t="n">
        <v>-14.59</v>
      </c>
      <c r="D499" s="16" t="s">
        <v>580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45497</v>
      </c>
      <c r="B500" s="6" t="n">
        <v>-43.38</v>
      </c>
      <c r="C500" s="6" t="n">
        <v>-43.38</v>
      </c>
      <c r="D500" s="16" t="s">
        <v>439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45497</v>
      </c>
      <c r="B501" s="6" t="n">
        <v>-43.42</v>
      </c>
      <c r="C501" s="6" t="n">
        <v>-43.42</v>
      </c>
      <c r="D501" s="16" t="s">
        <v>581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45497.5009375</v>
      </c>
      <c r="B502" s="6" t="n">
        <v>34.28</v>
      </c>
      <c r="C502" s="6" t="n">
        <v>34.28</v>
      </c>
      <c r="D502" s="16" t="s">
        <v>502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45497.502847222</v>
      </c>
      <c r="B503" s="6" t="n">
        <v>14.59</v>
      </c>
      <c r="C503" s="6" t="n">
        <v>14.59</v>
      </c>
      <c r="D503" s="16" t="s">
        <v>520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45497.565636574</v>
      </c>
      <c r="B504" s="6" t="n">
        <v>112.7</v>
      </c>
      <c r="C504" s="6" t="n">
        <v>112.7</v>
      </c>
      <c r="D504" s="16" t="s">
        <v>582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45497.646493056</v>
      </c>
      <c r="B505" s="6" t="n">
        <v>25.17</v>
      </c>
      <c r="C505" s="6" t="n">
        <v>25.17</v>
      </c>
      <c r="D505" s="16" t="s">
        <v>370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45497.693333333</v>
      </c>
      <c r="B506" s="6" t="n">
        <v>160.38</v>
      </c>
      <c r="C506" s="6" t="n">
        <v>160.38</v>
      </c>
      <c r="D506" s="16" t="s">
        <v>583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45498</v>
      </c>
      <c r="B507" s="6" t="n">
        <v>-1000</v>
      </c>
      <c r="C507" s="6" t="n">
        <v>-1000</v>
      </c>
      <c r="D507" s="16" t="s">
        <v>584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45498.44587963</v>
      </c>
      <c r="B508" s="6" t="n">
        <v>43.38</v>
      </c>
      <c r="C508" s="6" t="n">
        <v>43.38</v>
      </c>
      <c r="D508" s="16" t="s">
        <v>442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45498.54212963</v>
      </c>
      <c r="B509" s="6" t="n">
        <v>43.42</v>
      </c>
      <c r="C509" s="6" t="n">
        <v>43.42</v>
      </c>
      <c r="D509" s="16" t="s">
        <v>473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45499</v>
      </c>
      <c r="B510" s="6" t="n">
        <v>-47.12</v>
      </c>
      <c r="C510" s="6" t="n">
        <v>-47.12</v>
      </c>
      <c r="D510" s="16" t="s">
        <v>503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45499</v>
      </c>
      <c r="B511" s="6" t="n">
        <v>-29.48</v>
      </c>
      <c r="C511" s="6" t="n">
        <v>-29.48</v>
      </c>
      <c r="D511" s="16" t="s">
        <v>585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45499.534444444</v>
      </c>
      <c r="B512" s="6" t="n">
        <v>999</v>
      </c>
      <c r="C512" s="6" t="n">
        <v>999</v>
      </c>
      <c r="D512" s="16" t="s">
        <v>420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45499.712615741</v>
      </c>
      <c r="B513" s="6" t="n">
        <v>4329</v>
      </c>
      <c r="C513" s="6" t="n">
        <v>4329</v>
      </c>
      <c r="D513" s="16" t="s">
        <v>421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45502</v>
      </c>
      <c r="B514" s="6" t="n">
        <v>-28.1</v>
      </c>
      <c r="C514" s="6" t="n">
        <v>-28.1</v>
      </c>
      <c r="D514" s="16" t="s">
        <v>586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45502.475648148</v>
      </c>
      <c r="B515" s="6" t="n">
        <v>1000</v>
      </c>
      <c r="C515" s="6" t="n">
        <v>1000</v>
      </c>
      <c r="D515" s="16" t="s">
        <v>587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45502.477777778</v>
      </c>
      <c r="B516" s="6" t="n">
        <v>47.12</v>
      </c>
      <c r="C516" s="6" t="n">
        <v>47.12</v>
      </c>
      <c r="D516" s="16" t="s">
        <v>504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45502.563148148</v>
      </c>
      <c r="B517" s="6" t="n">
        <v>29.48</v>
      </c>
      <c r="C517" s="6" t="n">
        <v>29.48</v>
      </c>
      <c r="D517" s="16" t="s">
        <v>454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45503</v>
      </c>
      <c r="B518" s="6" t="n">
        <v>-29.17</v>
      </c>
      <c r="C518" s="6" t="n">
        <v>-29.17</v>
      </c>
      <c r="D518" s="16" t="s">
        <v>588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45503</v>
      </c>
      <c r="B519" s="6" t="n">
        <v>-28.22</v>
      </c>
      <c r="C519" s="6" t="n">
        <v>-28.22</v>
      </c>
      <c r="D519" s="16" t="s">
        <v>387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45503.540138889</v>
      </c>
      <c r="B520" s="6" t="n">
        <v>350</v>
      </c>
      <c r="C520" s="6" t="n">
        <v>350</v>
      </c>
      <c r="D520" s="16" t="s">
        <v>589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45503.669444444</v>
      </c>
      <c r="B521" s="6" t="n">
        <v>28.1</v>
      </c>
      <c r="C521" s="6" t="n">
        <v>28.1</v>
      </c>
      <c r="D521" s="16" t="s">
        <v>590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45504</v>
      </c>
      <c r="B522" s="6" t="n">
        <v>-72.6</v>
      </c>
      <c r="C522" s="6" t="n">
        <v>-72.6</v>
      </c>
      <c r="D522" s="16" t="s">
        <v>591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45504</v>
      </c>
      <c r="B523" s="6" t="n">
        <v>-39.45</v>
      </c>
      <c r="C523" s="6" t="n">
        <v>-39.45</v>
      </c>
      <c r="D523" s="16" t="s">
        <v>592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45504</v>
      </c>
      <c r="B524" s="6" t="n">
        <v>-34.41</v>
      </c>
      <c r="C524" s="6" t="n">
        <v>-34.41</v>
      </c>
      <c r="D524" s="16" t="s">
        <v>593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45504</v>
      </c>
      <c r="B525" s="6" t="n">
        <v>-912.6</v>
      </c>
      <c r="C525" s="6" t="n">
        <v>-912.6</v>
      </c>
      <c r="D525" s="16" t="s">
        <v>594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45504</v>
      </c>
      <c r="B526" s="6" t="n">
        <v>28.22</v>
      </c>
      <c r="C526" s="6" t="n">
        <v>28.22</v>
      </c>
      <c r="D526" s="16" t="s">
        <v>390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45504.498206019</v>
      </c>
      <c r="B527" s="6" t="n">
        <v>29.17</v>
      </c>
      <c r="C527" s="6" t="n">
        <v>29.17</v>
      </c>
      <c r="D527" s="16" t="s">
        <v>595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45505.512083333</v>
      </c>
      <c r="B528" s="6" t="n">
        <v>72.6</v>
      </c>
      <c r="C528" s="6" t="n">
        <v>72.6</v>
      </c>
      <c r="D528" s="16" t="s">
        <v>391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45505.573541667</v>
      </c>
      <c r="B529" s="6" t="n">
        <v>52</v>
      </c>
      <c r="C529" s="6" t="n">
        <v>52</v>
      </c>
      <c r="D529" s="16" t="s">
        <v>445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45505.596516204</v>
      </c>
      <c r="B530" s="6" t="n">
        <v>912.6</v>
      </c>
      <c r="C530" s="6" t="n">
        <v>912.6</v>
      </c>
      <c r="D530" s="16" t="s">
        <v>360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45505.660856481</v>
      </c>
      <c r="B531" s="6" t="n">
        <v>34.41</v>
      </c>
      <c r="C531" s="6" t="n">
        <v>34.41</v>
      </c>
      <c r="D531" s="16" t="s">
        <v>596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45505.670393519</v>
      </c>
      <c r="B532" s="6" t="n">
        <v>39.45</v>
      </c>
      <c r="C532" s="6" t="n">
        <v>39.45</v>
      </c>
      <c r="D532" s="16" t="s">
        <v>475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45506</v>
      </c>
      <c r="B533" s="6" t="n">
        <v>11000</v>
      </c>
      <c r="C533" s="6" t="n">
        <v>11000</v>
      </c>
      <c r="D533" s="16" t="s">
        <v>350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45506.579618056</v>
      </c>
      <c r="B534" s="6" t="n">
        <v>1229</v>
      </c>
      <c r="C534" s="6" t="n">
        <v>1229</v>
      </c>
      <c r="D534" s="16" t="s">
        <v>447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45506.590127315</v>
      </c>
      <c r="B535" s="6" t="n">
        <v>85</v>
      </c>
      <c r="C535" s="6" t="n">
        <v>85</v>
      </c>
      <c r="D535" s="16" t="s">
        <v>446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45507</v>
      </c>
      <c r="B536" s="6" t="n">
        <v>-53.1</v>
      </c>
      <c r="C536" s="6" t="n">
        <v>-53.1</v>
      </c>
      <c r="D536" s="16" t="s">
        <v>448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45510.462650463</v>
      </c>
      <c r="B537" s="6" t="n">
        <v>53.1</v>
      </c>
      <c r="C537" s="6" t="n">
        <v>53.1</v>
      </c>
      <c r="D537" s="16" t="s">
        <v>393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45511</v>
      </c>
      <c r="B538" s="6" t="n">
        <v>-37.64</v>
      </c>
      <c r="C538" s="6" t="n">
        <v>-37.64</v>
      </c>
      <c r="D538" s="16" t="s">
        <v>597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45512.488055556</v>
      </c>
      <c r="B539" s="6" t="n">
        <v>37.64</v>
      </c>
      <c r="C539" s="6" t="n">
        <v>37.64</v>
      </c>
      <c r="D539" s="16" t="s">
        <v>598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45518</v>
      </c>
      <c r="B540" s="6" t="n">
        <v>-628.2</v>
      </c>
      <c r="C540" s="6" t="n">
        <v>-628.2</v>
      </c>
      <c r="D540" s="16" t="s">
        <v>599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45518</v>
      </c>
      <c r="B541" s="6" t="n">
        <v>-4.67</v>
      </c>
      <c r="C541" s="6" t="n">
        <v>-4.67</v>
      </c>
      <c r="D541" s="16" t="s">
        <v>542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45519.523773148</v>
      </c>
      <c r="B542" s="6" t="n">
        <v>628.2</v>
      </c>
      <c r="C542" s="6" t="n">
        <v>628.2</v>
      </c>
      <c r="D542" s="16" t="s">
        <v>395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45519.689525463</v>
      </c>
      <c r="B543" s="6" t="n">
        <v>4.67</v>
      </c>
      <c r="C543" s="6" t="n">
        <v>4.67</v>
      </c>
      <c r="D543" s="16" t="s">
        <v>543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45520</v>
      </c>
      <c r="B544" s="6" t="n">
        <v>-51.61</v>
      </c>
      <c r="C544" s="6" t="n">
        <v>-51.61</v>
      </c>
      <c r="D544" s="16" t="s">
        <v>450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45522</v>
      </c>
      <c r="B545" s="6" t="n">
        <v>-400</v>
      </c>
      <c r="C545" s="6" t="n">
        <v>-400</v>
      </c>
      <c r="D545" s="16" t="s">
        <v>600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45523</v>
      </c>
      <c r="B546" s="6" t="n">
        <v>-55.1</v>
      </c>
      <c r="C546" s="6" t="n">
        <v>-55.1</v>
      </c>
      <c r="D546" s="16" t="s">
        <v>601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45523.477164352</v>
      </c>
      <c r="B547" s="6" t="n">
        <v>51.61</v>
      </c>
      <c r="C547" s="6" t="n">
        <v>51.61</v>
      </c>
      <c r="D547" s="16" t="s">
        <v>453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45524</v>
      </c>
      <c r="B548" s="6" t="n">
        <v>-250</v>
      </c>
      <c r="C548" s="6" t="n">
        <v>-250</v>
      </c>
      <c r="D548" s="16" t="s">
        <v>375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45524</v>
      </c>
      <c r="B549" s="6" t="n">
        <v>55.1</v>
      </c>
      <c r="C549" s="6" t="n">
        <v>55.1</v>
      </c>
      <c r="D549" s="16" t="s">
        <v>417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45524</v>
      </c>
      <c r="B550" s="6" t="n">
        <v>400</v>
      </c>
      <c r="C550" s="6" t="n">
        <v>400</v>
      </c>
      <c r="D550" s="16" t="s">
        <v>545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45525</v>
      </c>
      <c r="B551" s="6" t="n">
        <v>-5.36</v>
      </c>
      <c r="C551" s="6" t="n">
        <v>-5.36</v>
      </c>
      <c r="D551" s="16" t="s">
        <v>509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45526</v>
      </c>
      <c r="B552" s="6" t="n">
        <v>-8.66</v>
      </c>
      <c r="C552" s="6" t="n">
        <v>-8.66</v>
      </c>
      <c r="D552" s="16" t="s">
        <v>549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45526.58587963</v>
      </c>
      <c r="B553" s="6" t="n">
        <v>250</v>
      </c>
      <c r="C553" s="6" t="n">
        <v>250</v>
      </c>
      <c r="D553" s="16" t="s">
        <v>602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45526.586539352</v>
      </c>
      <c r="B554" s="6" t="n">
        <v>5.36</v>
      </c>
      <c r="C554" s="6" t="n">
        <v>5.36</v>
      </c>
      <c r="D554" s="16" t="s">
        <v>352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45527</v>
      </c>
      <c r="B555" s="6" t="n">
        <v>-14.54</v>
      </c>
      <c r="C555" s="6" t="n">
        <v>-14.54</v>
      </c>
      <c r="D555" s="16" t="s">
        <v>519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45527.652071759</v>
      </c>
      <c r="B556" s="6" t="n">
        <v>8.66</v>
      </c>
      <c r="C556" s="6" t="n">
        <v>8.66</v>
      </c>
      <c r="D556" s="16" t="s">
        <v>422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45530</v>
      </c>
      <c r="B557" s="6" t="n">
        <v>-29.5</v>
      </c>
      <c r="C557" s="6" t="n">
        <v>-29.5</v>
      </c>
      <c r="D557" s="16" t="s">
        <v>521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45530.535046296</v>
      </c>
      <c r="B558" s="6" t="n">
        <v>14.54</v>
      </c>
      <c r="C558" s="6" t="n">
        <v>14.54</v>
      </c>
      <c r="D558" s="16" t="s">
        <v>520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45531.584733796</v>
      </c>
      <c r="B559" s="6" t="n">
        <v>29.5</v>
      </c>
      <c r="C559" s="6" t="n">
        <v>29.5</v>
      </c>
      <c r="D559" s="16" t="s">
        <v>454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45532</v>
      </c>
      <c r="B560" s="6" t="n">
        <v>-28.1</v>
      </c>
      <c r="C560" s="6" t="n">
        <v>-28.1</v>
      </c>
      <c r="D560" s="16" t="s">
        <v>586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45533.647141204</v>
      </c>
      <c r="B561" s="6" t="n">
        <v>28.1</v>
      </c>
      <c r="C561" s="6" t="n">
        <v>28.1</v>
      </c>
      <c r="D561" s="16" t="s">
        <v>590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45534</v>
      </c>
      <c r="B562" s="6" t="n">
        <v>-24.81</v>
      </c>
      <c r="C562" s="6" t="n">
        <v>-24.81</v>
      </c>
      <c r="D562" s="16" t="s">
        <v>379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45537</v>
      </c>
      <c r="B563" s="6" t="n">
        <v>-39.9</v>
      </c>
      <c r="C563" s="6" t="n">
        <v>-39.9</v>
      </c>
      <c r="D563" s="16" t="s">
        <v>603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45537.6315625</v>
      </c>
      <c r="B564" s="6" t="n">
        <v>24.81</v>
      </c>
      <c r="C564" s="6" t="n">
        <v>24.81</v>
      </c>
      <c r="D564" s="16" t="s">
        <v>380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45538.642083333</v>
      </c>
      <c r="B565" s="6" t="n">
        <v>39.9</v>
      </c>
      <c r="C565" s="6" t="n">
        <v>39.9</v>
      </c>
      <c r="D565" s="16" t="s">
        <v>555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45539</v>
      </c>
      <c r="B566" s="6" t="n">
        <v>-179.52</v>
      </c>
      <c r="C566" s="6" t="n">
        <v>-179.52</v>
      </c>
      <c r="D566" s="16" t="s">
        <v>604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45539</v>
      </c>
      <c r="B567" s="6" t="n">
        <v>-19.87</v>
      </c>
      <c r="C567" s="6" t="n">
        <v>-19.87</v>
      </c>
      <c r="D567" s="16" t="s">
        <v>381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45539</v>
      </c>
      <c r="B568" s="6" t="n">
        <v>-78.63</v>
      </c>
      <c r="C568" s="6" t="n">
        <v>-78.63</v>
      </c>
      <c r="D568" s="16" t="s">
        <v>605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45539</v>
      </c>
      <c r="B569" s="6" t="n">
        <v>-67</v>
      </c>
      <c r="C569" s="6" t="n">
        <v>-67</v>
      </c>
      <c r="D569" s="16" t="s">
        <v>513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45540</v>
      </c>
      <c r="B570" s="6" t="n">
        <v>-11.45</v>
      </c>
      <c r="C570" s="6" t="n">
        <v>-11.45</v>
      </c>
      <c r="D570" s="16" t="s">
        <v>606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45540</v>
      </c>
      <c r="B571" s="6" t="n">
        <v>179.52</v>
      </c>
      <c r="C571" s="6" t="n">
        <v>179.52</v>
      </c>
      <c r="D571" s="16" t="s">
        <v>607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45540</v>
      </c>
      <c r="B572" s="6" t="n">
        <v>78.63</v>
      </c>
      <c r="C572" s="6" t="n">
        <v>78.63</v>
      </c>
      <c r="D572" s="16" t="s">
        <v>398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45540.736053241</v>
      </c>
      <c r="B573" s="6" t="n">
        <v>19.87</v>
      </c>
      <c r="C573" s="6" t="n">
        <v>19.87</v>
      </c>
      <c r="D573" s="16" t="s">
        <v>382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45541.437962963</v>
      </c>
      <c r="B574" s="6" t="n">
        <v>11200</v>
      </c>
      <c r="C574" s="6" t="n">
        <v>11200</v>
      </c>
      <c r="D574" s="16" t="s">
        <v>350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45541.705011574</v>
      </c>
      <c r="B575" s="6" t="n">
        <v>67</v>
      </c>
      <c r="C575" s="6" t="n">
        <v>67</v>
      </c>
      <c r="D575" s="16" t="s">
        <v>516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45541.70619213</v>
      </c>
      <c r="B576" s="6" t="n">
        <v>11.45</v>
      </c>
      <c r="C576" s="6" t="n">
        <v>11.45</v>
      </c>
      <c r="D576" s="16" t="s">
        <v>517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45552</v>
      </c>
      <c r="B577" s="6" t="n">
        <v>-39.39</v>
      </c>
      <c r="C577" s="6" t="n">
        <v>-39.39</v>
      </c>
      <c r="D577" s="16" t="s">
        <v>399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45553</v>
      </c>
      <c r="B578" s="6" t="n">
        <v>-323.62</v>
      </c>
      <c r="C578" s="6" t="n">
        <v>-323.62</v>
      </c>
      <c r="D578" s="16" t="s">
        <v>608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45553.533125</v>
      </c>
      <c r="B579" s="6" t="n">
        <v>39.39</v>
      </c>
      <c r="C579" s="6" t="n">
        <v>39.39</v>
      </c>
      <c r="D579" s="16" t="s">
        <v>402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45554.491759259</v>
      </c>
      <c r="B580" s="6" t="n">
        <v>323.62</v>
      </c>
      <c r="C580" s="6" t="n">
        <v>323.62</v>
      </c>
      <c r="D580" s="16" t="s">
        <v>362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45558</v>
      </c>
      <c r="B581" s="6" t="n">
        <v>-15.3</v>
      </c>
      <c r="C581" s="6" t="n">
        <v>-15.3</v>
      </c>
      <c r="D581" s="16" t="s">
        <v>609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45558</v>
      </c>
      <c r="B582" s="6" t="n">
        <v>-150</v>
      </c>
      <c r="C582" s="6" t="n">
        <v>-150</v>
      </c>
      <c r="D582" s="16" t="s">
        <v>565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45559</v>
      </c>
      <c r="B583" s="6" t="n">
        <v>-11.78</v>
      </c>
      <c r="C583" s="6" t="n">
        <v>-11.78</v>
      </c>
      <c r="D583" s="16" t="s">
        <v>610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45559.501134259</v>
      </c>
      <c r="B584" s="6" t="n">
        <v>15.3</v>
      </c>
      <c r="C584" s="6" t="n">
        <v>15.3</v>
      </c>
      <c r="D584" s="16" t="s">
        <v>520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45560</v>
      </c>
      <c r="B585" s="6" t="n">
        <v>-65.04</v>
      </c>
      <c r="C585" s="6" t="n">
        <v>-65.04</v>
      </c>
      <c r="D585" s="16" t="s">
        <v>611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45560</v>
      </c>
      <c r="B586" s="6" t="n">
        <v>-392.7</v>
      </c>
      <c r="C586" s="6" t="n">
        <v>-392.7</v>
      </c>
      <c r="D586" s="16" t="s">
        <v>612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45560</v>
      </c>
      <c r="B587" s="6" t="n">
        <v>-11.18</v>
      </c>
      <c r="C587" s="6" t="n">
        <v>-11.18</v>
      </c>
      <c r="D587" s="16" t="s">
        <v>613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45560</v>
      </c>
      <c r="B588" s="6" t="n">
        <v>-211.9</v>
      </c>
      <c r="C588" s="6" t="n">
        <v>-211.9</v>
      </c>
      <c r="D588" s="16" t="s">
        <v>614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45560</v>
      </c>
      <c r="B589" s="6" t="n">
        <v>11.78</v>
      </c>
      <c r="C589" s="6" t="n">
        <v>11.78</v>
      </c>
      <c r="D589" s="16" t="s">
        <v>462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45560</v>
      </c>
      <c r="B590" s="6" t="n">
        <v>150</v>
      </c>
      <c r="C590" s="6" t="n">
        <v>150</v>
      </c>
      <c r="D590" s="16" t="s">
        <v>461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45561</v>
      </c>
      <c r="B591" s="6" t="n">
        <v>-31.22</v>
      </c>
      <c r="C591" s="6" t="n">
        <v>-31.22</v>
      </c>
      <c r="D591" s="16" t="s">
        <v>615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45561</v>
      </c>
      <c r="B592" s="6" t="n">
        <v>65.04</v>
      </c>
      <c r="C592" s="6" t="n">
        <v>65.04</v>
      </c>
      <c r="D592" s="16" t="s">
        <v>404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45561</v>
      </c>
      <c r="B593" s="6" t="n">
        <v>211.9</v>
      </c>
      <c r="C593" s="6" t="n">
        <v>211.9</v>
      </c>
      <c r="D593" s="16" t="s">
        <v>528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45561.438402778</v>
      </c>
      <c r="B594" s="6" t="n">
        <v>392.7</v>
      </c>
      <c r="C594" s="6" t="n">
        <v>392.7</v>
      </c>
      <c r="D594" s="16" t="s">
        <v>527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45561.69099537</v>
      </c>
      <c r="B595" s="6" t="n">
        <v>11.18</v>
      </c>
      <c r="C595" s="6" t="n">
        <v>11.18</v>
      </c>
      <c r="D595" s="16" t="s">
        <v>616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45562</v>
      </c>
      <c r="B596" s="6" t="n">
        <v>-31.4</v>
      </c>
      <c r="C596" s="6" t="n">
        <v>-31.4</v>
      </c>
      <c r="D596" s="16" t="s">
        <v>617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45562</v>
      </c>
      <c r="B597" s="6" t="n">
        <v>-242.4</v>
      </c>
      <c r="C597" s="6" t="n">
        <v>-242.4</v>
      </c>
      <c r="D597" s="16" t="s">
        <v>618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45562.674224537</v>
      </c>
      <c r="B598" s="6" t="n">
        <v>31.22</v>
      </c>
      <c r="C598" s="6" t="n">
        <v>31.22</v>
      </c>
      <c r="D598" s="16" t="s">
        <v>454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45565.518298611</v>
      </c>
      <c r="B599" s="6" t="n">
        <v>31.4</v>
      </c>
      <c r="C599" s="6" t="n">
        <v>31.4</v>
      </c>
      <c r="D599" s="16" t="s">
        <v>590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45566.443460648</v>
      </c>
      <c r="B600" s="6" t="n">
        <v>11000</v>
      </c>
      <c r="C600" s="6" t="n">
        <v>11000</v>
      </c>
      <c r="D600" s="16" t="s">
        <v>350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45567</v>
      </c>
      <c r="B601" s="6" t="n">
        <v>-230.34</v>
      </c>
      <c r="C601" s="6" t="n">
        <v>-230.34</v>
      </c>
      <c r="D601" s="16" t="s">
        <v>619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45567</v>
      </c>
      <c r="B602" s="6" t="n">
        <v>-614.24</v>
      </c>
      <c r="C602" s="6" t="n">
        <v>-614.24</v>
      </c>
      <c r="D602" s="16" t="s">
        <v>620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45568</v>
      </c>
      <c r="B603" s="6" t="n">
        <v>-6.98</v>
      </c>
      <c r="C603" s="6" t="n">
        <v>-6.98</v>
      </c>
      <c r="D603" s="16" t="s">
        <v>621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45568.440694444</v>
      </c>
      <c r="B604" s="6" t="n">
        <v>614.24</v>
      </c>
      <c r="C604" s="6" t="n">
        <v>614.24</v>
      </c>
      <c r="D604" s="16" t="s">
        <v>408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45568.474201389</v>
      </c>
      <c r="B605" s="6" t="n">
        <v>230.34</v>
      </c>
      <c r="C605" s="6" t="n">
        <v>230.34</v>
      </c>
      <c r="D605" s="16" t="s">
        <v>407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45569.642337963</v>
      </c>
      <c r="B606" s="6" t="n">
        <v>6.98</v>
      </c>
      <c r="C606" s="6" t="n">
        <v>6.98</v>
      </c>
      <c r="D606" s="16" t="s">
        <v>355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45573</v>
      </c>
      <c r="B607" s="6" t="n">
        <v>-38.2</v>
      </c>
      <c r="C607" s="6" t="n">
        <v>-38.2</v>
      </c>
      <c r="D607" s="16" t="s">
        <v>622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45574</v>
      </c>
      <c r="B608" s="6" t="n">
        <v>-411.1</v>
      </c>
      <c r="C608" s="6" t="n">
        <v>-411.1</v>
      </c>
      <c r="D608" s="16" t="s">
        <v>623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45575.566296296</v>
      </c>
      <c r="B609" s="6" t="n">
        <v>411.1</v>
      </c>
      <c r="C609" s="6" t="n">
        <v>411.1</v>
      </c>
      <c r="D609" s="16" t="s">
        <v>410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45576</v>
      </c>
      <c r="B610" s="6" t="n">
        <v>-35.5</v>
      </c>
      <c r="C610" s="6" t="n">
        <v>-35.5</v>
      </c>
      <c r="D610" s="16" t="s">
        <v>624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45579.629525463</v>
      </c>
      <c r="B611" s="6" t="n">
        <v>242.4</v>
      </c>
      <c r="C611" s="6" t="n">
        <v>242.4</v>
      </c>
      <c r="D611" s="16" t="s">
        <v>625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45581</v>
      </c>
      <c r="B612" s="6" t="n">
        <v>-26.18</v>
      </c>
      <c r="C612" s="6" t="n">
        <v>-26.18</v>
      </c>
      <c r="D612" s="16" t="s">
        <v>626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45581</v>
      </c>
      <c r="B613" s="6" t="n">
        <v>-381.5</v>
      </c>
      <c r="C613" s="6" t="n">
        <v>-381.5</v>
      </c>
      <c r="D613" s="16" t="s">
        <v>627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45582</v>
      </c>
      <c r="B614" s="6" t="n">
        <v>-74.82</v>
      </c>
      <c r="C614" s="6" t="n">
        <v>-74.82</v>
      </c>
      <c r="D614" s="16" t="s">
        <v>628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45582.51912037</v>
      </c>
      <c r="B615" s="6" t="n">
        <v>381.5</v>
      </c>
      <c r="C615" s="6" t="n">
        <v>381.5</v>
      </c>
      <c r="D615" s="16" t="s">
        <v>469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45582.634652778</v>
      </c>
      <c r="B616" s="6" t="n">
        <v>26.18</v>
      </c>
      <c r="C616" s="6" t="n">
        <v>26.18</v>
      </c>
      <c r="D616" s="16" t="s">
        <v>629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45584</v>
      </c>
      <c r="B617" s="6" t="n">
        <v>-24.9</v>
      </c>
      <c r="C617" s="6" t="n">
        <v>-24.9</v>
      </c>
      <c r="D617" s="16" t="s">
        <v>630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45587</v>
      </c>
      <c r="B618" s="6" t="n">
        <v>-34.28</v>
      </c>
      <c r="C618" s="6" t="n">
        <v>-34.28</v>
      </c>
      <c r="D618" s="16" t="s">
        <v>499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45588</v>
      </c>
      <c r="B619" s="6" t="n">
        <v>-48.3</v>
      </c>
      <c r="C619" s="6" t="n">
        <v>-48.3</v>
      </c>
      <c r="D619" s="16" t="s">
        <v>631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45588.462349537</v>
      </c>
      <c r="B620" s="6" t="n">
        <v>34.28</v>
      </c>
      <c r="C620" s="6" t="n">
        <v>34.28</v>
      </c>
      <c r="D620" s="16" t="s">
        <v>502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45588.652719907</v>
      </c>
      <c r="B621" s="6" t="n">
        <v>38.2</v>
      </c>
      <c r="C621" s="6" t="n">
        <v>38.2</v>
      </c>
      <c r="D621" s="16" t="s">
        <v>370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45589</v>
      </c>
      <c r="B622" s="6" t="n">
        <v>-16.6</v>
      </c>
      <c r="C622" s="6" t="n">
        <v>-16.6</v>
      </c>
      <c r="D622" s="16" t="s">
        <v>632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45590</v>
      </c>
      <c r="B623" s="6" t="n">
        <v>-11.18</v>
      </c>
      <c r="C623" s="6" t="n">
        <v>-11.18</v>
      </c>
      <c r="D623" s="16" t="s">
        <v>613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45590.547407407</v>
      </c>
      <c r="B624" s="6" t="n">
        <v>48.3</v>
      </c>
      <c r="C624" s="6" t="n">
        <v>48.3</v>
      </c>
      <c r="D624" s="16" t="s">
        <v>473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45592</v>
      </c>
      <c r="B625" s="6" t="n">
        <v>-33.7</v>
      </c>
      <c r="C625" s="6" t="n">
        <v>-33.7</v>
      </c>
      <c r="D625" s="16" t="s">
        <v>633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45592</v>
      </c>
      <c r="B626" s="6" t="n">
        <v>-33.04</v>
      </c>
      <c r="C626" s="6" t="n">
        <v>-33.04</v>
      </c>
      <c r="D626" s="16" t="s">
        <v>634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45593.616828704</v>
      </c>
      <c r="B627" s="6" t="n">
        <v>16.6</v>
      </c>
      <c r="C627" s="6" t="n">
        <v>16.6</v>
      </c>
      <c r="D627" s="16" t="s">
        <v>520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45594</v>
      </c>
      <c r="B628" s="6" t="n">
        <v>-58.34</v>
      </c>
      <c r="C628" s="6" t="n">
        <v>-58.34</v>
      </c>
      <c r="D628" s="16" t="s">
        <v>635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45594</v>
      </c>
      <c r="B629" s="6" t="n">
        <v>-28.22</v>
      </c>
      <c r="C629" s="6" t="n">
        <v>-28.22</v>
      </c>
      <c r="D629" s="16" t="s">
        <v>387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45594.450590278</v>
      </c>
      <c r="B630" s="6" t="n">
        <v>11.18</v>
      </c>
      <c r="C630" s="6" t="n">
        <v>11.18</v>
      </c>
      <c r="D630" s="16" t="s">
        <v>616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45594.658043981</v>
      </c>
      <c r="B631" s="6" t="n">
        <v>35.5</v>
      </c>
      <c r="C631" s="6" t="n">
        <v>35.5</v>
      </c>
      <c r="D631" s="16" t="s">
        <v>367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45595</v>
      </c>
      <c r="B632" s="6" t="n">
        <v>-44.89</v>
      </c>
      <c r="C632" s="6" t="n">
        <v>-44.89</v>
      </c>
      <c r="D632" s="16" t="s">
        <v>636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45595.433518519</v>
      </c>
      <c r="B633" s="6" t="n">
        <v>33.7</v>
      </c>
      <c r="C633" s="6" t="n">
        <v>33.7</v>
      </c>
      <c r="D633" s="16" t="s">
        <v>454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45595.528634259</v>
      </c>
      <c r="B634" s="6" t="n">
        <v>74.82</v>
      </c>
      <c r="C634" s="6" t="n">
        <v>74.82</v>
      </c>
      <c r="D634" s="16" t="s">
        <v>568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45595.753321759</v>
      </c>
      <c r="B635" s="6" t="n">
        <v>33.04</v>
      </c>
      <c r="C635" s="6" t="n">
        <v>33.04</v>
      </c>
      <c r="D635" s="16" t="s">
        <v>590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45596</v>
      </c>
      <c r="B636" s="6" t="n">
        <v>-42.38</v>
      </c>
      <c r="C636" s="6" t="n">
        <v>-42.38</v>
      </c>
      <c r="D636" s="16" t="s">
        <v>371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45596.568043981</v>
      </c>
      <c r="B637" s="6" t="n">
        <v>58.34</v>
      </c>
      <c r="C637" s="6" t="n">
        <v>58.34</v>
      </c>
      <c r="D637" s="16" t="s">
        <v>595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45596.657222222</v>
      </c>
      <c r="B638" s="6" t="n">
        <v>28.22</v>
      </c>
      <c r="C638" s="6" t="n">
        <v>28.22</v>
      </c>
      <c r="D638" s="16" t="s">
        <v>390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45596.703842593</v>
      </c>
      <c r="B639" s="6" t="n">
        <v>44.89</v>
      </c>
      <c r="C639" s="6" t="n">
        <v>44.89</v>
      </c>
      <c r="D639" s="16" t="s">
        <v>475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45597</v>
      </c>
      <c r="B640" s="6" t="n">
        <v>-23.86</v>
      </c>
      <c r="C640" s="6" t="n">
        <v>-23.86</v>
      </c>
      <c r="D640" s="16" t="s">
        <v>637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45597.599108796</v>
      </c>
      <c r="B641" s="6" t="n">
        <v>42.38</v>
      </c>
      <c r="C641" s="6" t="n">
        <v>42.38</v>
      </c>
      <c r="D641" s="16" t="s">
        <v>372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45597.648206019</v>
      </c>
      <c r="B642" s="6" t="n">
        <v>5000</v>
      </c>
      <c r="C642" s="6" t="n">
        <v>5000</v>
      </c>
      <c r="D642" s="16" t="s">
        <v>350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45597.652465278</v>
      </c>
      <c r="B643" s="6" t="n">
        <v>6200</v>
      </c>
      <c r="C643" s="6" t="n">
        <v>6200</v>
      </c>
      <c r="D643" s="16" t="s">
        <v>350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45598.562025463</v>
      </c>
      <c r="B644" s="6" t="n">
        <v>23.86</v>
      </c>
      <c r="C644" s="6" t="n">
        <v>23.86</v>
      </c>
      <c r="D644" s="16" t="s">
        <v>638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45598.622881944</v>
      </c>
      <c r="B645" s="6" t="n">
        <v>24.9</v>
      </c>
      <c r="C645" s="6" t="n">
        <v>24.9</v>
      </c>
      <c r="D645" s="16" t="s">
        <v>639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45609</v>
      </c>
      <c r="B646" s="6" t="n">
        <v>-4.67</v>
      </c>
      <c r="C646" s="6" t="n">
        <v>-4.67</v>
      </c>
      <c r="D646" s="16" t="s">
        <v>542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45609</v>
      </c>
      <c r="B647" s="6" t="n">
        <v>-594.79</v>
      </c>
      <c r="C647" s="6" t="n">
        <v>-594.79</v>
      </c>
      <c r="D647" s="16" t="s">
        <v>640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45610.465219907</v>
      </c>
      <c r="B648" s="6" t="n">
        <v>594.79</v>
      </c>
      <c r="C648" s="6" t="n">
        <v>594.79</v>
      </c>
      <c r="D648" s="16" t="s">
        <v>374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45610.596493056</v>
      </c>
      <c r="B649" s="6" t="n">
        <v>4.67</v>
      </c>
      <c r="C649" s="6" t="n">
        <v>4.67</v>
      </c>
      <c r="D649" s="16" t="s">
        <v>543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45613</v>
      </c>
      <c r="B650" s="6" t="n">
        <v>-500</v>
      </c>
      <c r="C650" s="6" t="n">
        <v>-500</v>
      </c>
      <c r="D650" s="16" t="s">
        <v>641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45614</v>
      </c>
      <c r="B651" s="6" t="n">
        <v>-42.14</v>
      </c>
      <c r="C651" s="6" t="n">
        <v>-42.14</v>
      </c>
      <c r="D651" s="16" t="s">
        <v>642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45615</v>
      </c>
      <c r="B652" s="6" t="n">
        <v>42.14</v>
      </c>
      <c r="C652" s="6" t="n">
        <v>42.14</v>
      </c>
      <c r="D652" s="16" t="s">
        <v>417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45615</v>
      </c>
      <c r="B653" s="6" t="n">
        <v>500</v>
      </c>
      <c r="C653" s="6" t="n">
        <v>500</v>
      </c>
      <c r="D653" s="16" t="s">
        <v>545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45616</v>
      </c>
      <c r="B654" s="6" t="n">
        <v>-325.35</v>
      </c>
      <c r="C654" s="6" t="n">
        <v>-325.35</v>
      </c>
      <c r="D654" s="16" t="s">
        <v>548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45616</v>
      </c>
      <c r="B655" s="6" t="n">
        <v>-84.9</v>
      </c>
      <c r="C655" s="6" t="n">
        <v>-84.9</v>
      </c>
      <c r="D655" s="16" t="s">
        <v>643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45617</v>
      </c>
      <c r="B656" s="6" t="n">
        <v>-8.66</v>
      </c>
      <c r="C656" s="6" t="n">
        <v>-8.66</v>
      </c>
      <c r="D656" s="16" t="s">
        <v>549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45617.464398148</v>
      </c>
      <c r="B657" s="6" t="n">
        <v>325.35</v>
      </c>
      <c r="C657" s="6" t="n">
        <v>325.35</v>
      </c>
      <c r="D657" s="16" t="s">
        <v>378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45617.679490741</v>
      </c>
      <c r="B658" s="6" t="n">
        <v>84.9</v>
      </c>
      <c r="C658" s="6" t="n">
        <v>84.9</v>
      </c>
      <c r="D658" s="16" t="s">
        <v>480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45618.532418981</v>
      </c>
      <c r="B659" s="6" t="n">
        <v>8.66</v>
      </c>
      <c r="C659" s="6" t="n">
        <v>8.66</v>
      </c>
      <c r="D659" s="16" t="s">
        <v>422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45620</v>
      </c>
      <c r="B660" s="6" t="n">
        <v>-11.18</v>
      </c>
      <c r="C660" s="6" t="n">
        <v>-11.18</v>
      </c>
      <c r="D660" s="16" t="s">
        <v>613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45620</v>
      </c>
      <c r="B661" s="6" t="n">
        <v>-16.79</v>
      </c>
      <c r="C661" s="6" t="n">
        <v>-16.79</v>
      </c>
      <c r="D661" s="16" t="s">
        <v>644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45622</v>
      </c>
      <c r="B662" s="6" t="n">
        <v>-33.04</v>
      </c>
      <c r="C662" s="6" t="n">
        <v>-33.04</v>
      </c>
      <c r="D662" s="16" t="s">
        <v>634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45622</v>
      </c>
      <c r="B663" s="6" t="n">
        <v>-24.93</v>
      </c>
      <c r="C663" s="6" t="n">
        <v>-24.93</v>
      </c>
      <c r="D663" s="16" t="s">
        <v>645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45623</v>
      </c>
      <c r="B664" s="6" t="n">
        <v>-33.96</v>
      </c>
      <c r="C664" s="6" t="n">
        <v>-33.96</v>
      </c>
      <c r="D664" s="16" t="s">
        <v>646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45623</v>
      </c>
      <c r="B665" s="6" t="n">
        <v>-426.33</v>
      </c>
      <c r="C665" s="6" t="n">
        <v>-426.33</v>
      </c>
      <c r="D665" s="16" t="s">
        <v>647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45623</v>
      </c>
      <c r="B666" s="6" t="n">
        <v>-65.78</v>
      </c>
      <c r="C666" s="6" t="n">
        <v>-65.78</v>
      </c>
      <c r="D666" s="16" t="s">
        <v>648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45623.624259259</v>
      </c>
      <c r="B667" s="6" t="n">
        <v>11.18</v>
      </c>
      <c r="C667" s="6" t="n">
        <v>11.18</v>
      </c>
      <c r="D667" s="16" t="s">
        <v>616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45623.655358796</v>
      </c>
      <c r="B668" s="6" t="n">
        <v>16.79</v>
      </c>
      <c r="C668" s="6" t="n">
        <v>16.79</v>
      </c>
      <c r="D668" s="16" t="s">
        <v>520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45623.709236111</v>
      </c>
      <c r="B669" s="6" t="n">
        <v>24.93</v>
      </c>
      <c r="C669" s="6" t="n">
        <v>24.93</v>
      </c>
      <c r="D669" s="16" t="s">
        <v>649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45623.788715278</v>
      </c>
      <c r="B670" s="6" t="n">
        <v>33.04</v>
      </c>
      <c r="C670" s="6" t="n">
        <v>33.04</v>
      </c>
      <c r="D670" s="16" t="s">
        <v>590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45624</v>
      </c>
      <c r="B671" s="6" t="n">
        <v>426.33</v>
      </c>
      <c r="C671" s="6" t="n">
        <v>426.33</v>
      </c>
      <c r="D671" s="16" t="s">
        <v>552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45624.431863426</v>
      </c>
      <c r="B672" s="6" t="n">
        <v>65.78</v>
      </c>
      <c r="C672" s="6" t="n">
        <v>65.78</v>
      </c>
      <c r="D672" s="16" t="s">
        <v>650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45624.547453704</v>
      </c>
      <c r="B673" s="6" t="n">
        <v>33.96</v>
      </c>
      <c r="C673" s="6" t="n">
        <v>33.96</v>
      </c>
      <c r="D673" s="16" t="s">
        <v>454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45625</v>
      </c>
      <c r="B674" s="6" t="n">
        <v>-24.81</v>
      </c>
      <c r="C674" s="6" t="n">
        <v>-24.81</v>
      </c>
      <c r="D674" s="16" t="s">
        <v>379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45628</v>
      </c>
      <c r="B675" s="6" t="n">
        <v>-39.9</v>
      </c>
      <c r="C675" s="6" t="n">
        <v>-39.9</v>
      </c>
      <c r="D675" s="16" t="s">
        <v>603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45628.504849537</v>
      </c>
      <c r="B676" s="6" t="n">
        <v>24.81</v>
      </c>
      <c r="C676" s="6" t="n">
        <v>24.81</v>
      </c>
      <c r="D676" s="16" t="s">
        <v>380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45629</v>
      </c>
      <c r="B677" s="6" t="n">
        <v>-56.1</v>
      </c>
      <c r="C677" s="6" t="n">
        <v>-56.1</v>
      </c>
      <c r="D677" s="16" t="s">
        <v>482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45629</v>
      </c>
      <c r="B678" s="6" t="n">
        <v>-29.17</v>
      </c>
      <c r="C678" s="6" t="n">
        <v>-29.17</v>
      </c>
      <c r="D678" s="16" t="s">
        <v>651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45629.628576389</v>
      </c>
      <c r="B679" s="6" t="n">
        <v>39.9</v>
      </c>
      <c r="C679" s="6" t="n">
        <v>39.9</v>
      </c>
      <c r="D679" s="16" t="s">
        <v>555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45630</v>
      </c>
      <c r="B680" s="6" t="n">
        <v>-56.84</v>
      </c>
      <c r="C680" s="6" t="n">
        <v>-56.84</v>
      </c>
      <c r="D680" s="16" t="s">
        <v>652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45630</v>
      </c>
      <c r="B681" s="6" t="n">
        <v>-68.13</v>
      </c>
      <c r="C681" s="6" t="n">
        <v>-68.13</v>
      </c>
      <c r="D681" s="16" t="s">
        <v>653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45630</v>
      </c>
      <c r="B682" s="6" t="n">
        <v>-488.7</v>
      </c>
      <c r="C682" s="6" t="n">
        <v>-488.7</v>
      </c>
      <c r="D682" s="16" t="s">
        <v>654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45630</v>
      </c>
      <c r="B683" s="6" t="n">
        <v>-19.55</v>
      </c>
      <c r="C683" s="6" t="n">
        <v>-19.55</v>
      </c>
      <c r="D683" s="16" t="s">
        <v>655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45630</v>
      </c>
      <c r="B684" s="6" t="n">
        <v>-65.32</v>
      </c>
      <c r="C684" s="6" t="n">
        <v>-65.32</v>
      </c>
      <c r="D684" s="16" t="s">
        <v>556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45630</v>
      </c>
      <c r="B685" s="6" t="n">
        <v>-19.87</v>
      </c>
      <c r="C685" s="6" t="n">
        <v>-19.87</v>
      </c>
      <c r="D685" s="16" t="s">
        <v>381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45630</v>
      </c>
      <c r="B686" s="6" t="n">
        <v>-778.8</v>
      </c>
      <c r="C686" s="6" t="n">
        <v>-778.8</v>
      </c>
      <c r="D686" s="16" t="s">
        <v>656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45630</v>
      </c>
      <c r="B687" s="6" t="n">
        <v>-67</v>
      </c>
      <c r="C687" s="6" t="n">
        <v>-67</v>
      </c>
      <c r="D687" s="16" t="s">
        <v>513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45630.519895833</v>
      </c>
      <c r="B688" s="6" t="n">
        <v>56.1</v>
      </c>
      <c r="C688" s="6" t="n">
        <v>56.1</v>
      </c>
      <c r="D688" s="16" t="s">
        <v>485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45630.521851852</v>
      </c>
      <c r="B689" s="6" t="n">
        <v>29.17</v>
      </c>
      <c r="C689" s="6" t="n">
        <v>29.17</v>
      </c>
      <c r="D689" s="16" t="s">
        <v>657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45631</v>
      </c>
      <c r="B690" s="6" t="n">
        <v>-9.8</v>
      </c>
      <c r="C690" s="6" t="n">
        <v>-9.8</v>
      </c>
      <c r="D690" s="16" t="s">
        <v>658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45631</v>
      </c>
      <c r="B691" s="6" t="n">
        <v>-35.53</v>
      </c>
      <c r="C691" s="6" t="n">
        <v>-35.53</v>
      </c>
      <c r="D691" s="16" t="s">
        <v>659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45631.463472222</v>
      </c>
      <c r="B692" s="6" t="n">
        <v>778.8</v>
      </c>
      <c r="C692" s="6" t="n">
        <v>778.8</v>
      </c>
      <c r="D692" s="16" t="s">
        <v>427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45631.48</v>
      </c>
      <c r="B693" s="6" t="n">
        <v>488.7</v>
      </c>
      <c r="C693" s="6" t="n">
        <v>488.7</v>
      </c>
      <c r="D693" s="16" t="s">
        <v>486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45631.500243056</v>
      </c>
      <c r="B694" s="6" t="n">
        <v>68.13</v>
      </c>
      <c r="C694" s="6" t="n">
        <v>68.13</v>
      </c>
      <c r="D694" s="16" t="s">
        <v>660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45631.577962963</v>
      </c>
      <c r="B695" s="6" t="n">
        <v>56.84</v>
      </c>
      <c r="C695" s="6" t="n">
        <v>56.84</v>
      </c>
      <c r="D695" s="16" t="s">
        <v>661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45631.628101852</v>
      </c>
      <c r="B696" s="6" t="n">
        <v>65.32</v>
      </c>
      <c r="C696" s="6" t="n">
        <v>65.32</v>
      </c>
      <c r="D696" s="16" t="s">
        <v>426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45631.684201389</v>
      </c>
      <c r="B697" s="6" t="n">
        <v>19.55</v>
      </c>
      <c r="C697" s="6" t="n">
        <v>19.55</v>
      </c>
      <c r="D697" s="16" t="s">
        <v>662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45631.688402778</v>
      </c>
      <c r="B698" s="6" t="n">
        <v>19.87</v>
      </c>
      <c r="C698" s="6" t="n">
        <v>19.87</v>
      </c>
      <c r="D698" s="16" t="s">
        <v>382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45632.781006944</v>
      </c>
      <c r="B699" s="6" t="n">
        <v>67</v>
      </c>
      <c r="C699" s="6" t="n">
        <v>67</v>
      </c>
      <c r="D699" s="16" t="s">
        <v>516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45632.782233796</v>
      </c>
      <c r="B700" s="6" t="n">
        <v>9.8</v>
      </c>
      <c r="C700" s="6" t="n">
        <v>9.8</v>
      </c>
      <c r="D700" s="16" t="s">
        <v>517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45632.794340278</v>
      </c>
      <c r="B701" s="6" t="n">
        <v>35.53</v>
      </c>
      <c r="C701" s="6" t="n">
        <v>35.53</v>
      </c>
      <c r="D701" s="16" t="s">
        <v>663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45635</v>
      </c>
      <c r="B702" s="6" t="n">
        <v>-35</v>
      </c>
      <c r="C702" s="6" t="n">
        <v>-35</v>
      </c>
      <c r="D702" s="16" t="s">
        <v>487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45636</v>
      </c>
      <c r="B703" s="6" t="n">
        <v>-30.12</v>
      </c>
      <c r="C703" s="6" t="n">
        <v>-30.12</v>
      </c>
      <c r="D703" s="16" t="s">
        <v>561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45637</v>
      </c>
      <c r="B704" s="6" t="n">
        <v>30.12</v>
      </c>
      <c r="C704" s="6" t="n">
        <v>30.12</v>
      </c>
      <c r="D704" s="16" t="s">
        <v>429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45637</v>
      </c>
      <c r="B705" s="6" t="n">
        <v>35</v>
      </c>
      <c r="C705" s="6" t="n">
        <v>35</v>
      </c>
      <c r="D705" s="16" t="s">
        <v>488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45639</v>
      </c>
      <c r="B706" s="6" t="n">
        <v>-1301.75</v>
      </c>
      <c r="C706" s="6" t="n">
        <v>-1301.75</v>
      </c>
      <c r="D706" s="16" t="s">
        <v>664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45639</v>
      </c>
      <c r="B707" s="6" t="n">
        <v>11200</v>
      </c>
      <c r="C707" s="6" t="n">
        <v>11200</v>
      </c>
      <c r="D707" s="16" t="s">
        <v>350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45643.579560185</v>
      </c>
      <c r="B708" s="6" t="n">
        <v>1301.75</v>
      </c>
      <c r="C708" s="6" t="n">
        <v>1301.75</v>
      </c>
      <c r="D708" s="16" t="s">
        <v>665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45644</v>
      </c>
      <c r="B709" s="6" t="n">
        <v>-863.1</v>
      </c>
      <c r="C709" s="6" t="n">
        <v>-863.1</v>
      </c>
      <c r="D709" s="16" t="s">
        <v>666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45645</v>
      </c>
      <c r="B710" s="6" t="n">
        <v>863.1</v>
      </c>
      <c r="C710" s="6" t="n">
        <v>863.1</v>
      </c>
      <c r="D710" s="16" t="s">
        <v>384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45649</v>
      </c>
      <c r="B711" s="6" t="n">
        <v>-150</v>
      </c>
      <c r="C711" s="6" t="n">
        <v>-150</v>
      </c>
      <c r="D711" s="16" t="s">
        <v>565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45650</v>
      </c>
      <c r="B712" s="6" t="n">
        <v>-11.18</v>
      </c>
      <c r="C712" s="6" t="n">
        <v>-11.18</v>
      </c>
      <c r="D712" s="16" t="s">
        <v>613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45650</v>
      </c>
      <c r="B713" s="6" t="n">
        <v>-7.85</v>
      </c>
      <c r="C713" s="6" t="n">
        <v>-7.85</v>
      </c>
      <c r="D713" s="16" t="s">
        <v>667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45651</v>
      </c>
      <c r="B714" s="6" t="n">
        <v>-18.06</v>
      </c>
      <c r="C714" s="6" t="n">
        <v>-18.06</v>
      </c>
      <c r="D714" s="16" t="s">
        <v>668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45651</v>
      </c>
      <c r="B715" s="6" t="n">
        <v>7.85</v>
      </c>
      <c r="C715" s="6" t="n">
        <v>7.85</v>
      </c>
      <c r="D715" s="16" t="s">
        <v>462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45651</v>
      </c>
      <c r="B716" s="6" t="n">
        <v>150</v>
      </c>
      <c r="C716" s="6" t="n">
        <v>150</v>
      </c>
      <c r="D716" s="16" t="s">
        <v>461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45651.784016204</v>
      </c>
      <c r="B717" s="6" t="n">
        <v>11.18</v>
      </c>
      <c r="C717" s="6" t="n">
        <v>11.18</v>
      </c>
      <c r="D717" s="16" t="s">
        <v>616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45652</v>
      </c>
      <c r="B718" s="6" t="n">
        <v>-36.32</v>
      </c>
      <c r="C718" s="6" t="n">
        <v>-36.32</v>
      </c>
      <c r="D718" s="16" t="s">
        <v>669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45652</v>
      </c>
      <c r="B719" s="6" t="n">
        <v>-200</v>
      </c>
      <c r="C719" s="6" t="n">
        <v>-200</v>
      </c>
      <c r="D719" s="16" t="s">
        <v>670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45653</v>
      </c>
      <c r="B720" s="6" t="n">
        <v>-52.66</v>
      </c>
      <c r="C720" s="6" t="n">
        <v>-52.66</v>
      </c>
      <c r="D720" s="16" t="s">
        <v>671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45653.502962963</v>
      </c>
      <c r="B721" s="6" t="n">
        <v>18.06</v>
      </c>
      <c r="C721" s="6" t="n">
        <v>18.06</v>
      </c>
      <c r="D721" s="16" t="s">
        <v>520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45653.650925926</v>
      </c>
      <c r="B722" s="6" t="n">
        <v>36.32</v>
      </c>
      <c r="C722" s="6" t="n">
        <v>36.32</v>
      </c>
      <c r="D722" s="16" t="s">
        <v>590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45654</v>
      </c>
      <c r="B723" s="6" t="n">
        <v>-36.78</v>
      </c>
      <c r="C723" s="6" t="n">
        <v>-36.78</v>
      </c>
      <c r="D723" s="16" t="s">
        <v>672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45654.652268519</v>
      </c>
      <c r="B724" s="6" t="n">
        <v>52.66</v>
      </c>
      <c r="C724" s="6" t="n">
        <v>52.66</v>
      </c>
      <c r="D724" s="16" t="s">
        <v>495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45656.469571759</v>
      </c>
      <c r="B725" s="6" t="n">
        <v>200</v>
      </c>
      <c r="C725" s="6" t="n">
        <v>200</v>
      </c>
      <c r="D725" s="16" t="s">
        <v>570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45659</v>
      </c>
      <c r="B726" s="6" t="n">
        <v>-6.98</v>
      </c>
      <c r="C726" s="6" t="n">
        <v>-6.98</v>
      </c>
      <c r="D726" s="16" t="s">
        <v>621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45665</v>
      </c>
      <c r="B727" s="6" t="n">
        <v>-156.51</v>
      </c>
      <c r="C727" s="6" t="n">
        <v>-156.51</v>
      </c>
      <c r="D727" s="16" t="s">
        <v>673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45666.602303241</v>
      </c>
      <c r="B728" s="6" t="n">
        <v>36.78</v>
      </c>
      <c r="C728" s="6" t="n">
        <v>36.78</v>
      </c>
      <c r="D728" s="16" t="s">
        <v>454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45667.841736111</v>
      </c>
      <c r="B729" s="6" t="n">
        <v>6.98</v>
      </c>
      <c r="C729" s="6" t="n">
        <v>6.98</v>
      </c>
      <c r="D729" s="16" t="s">
        <v>355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45670.441712963</v>
      </c>
      <c r="B730" s="6" t="n">
        <v>10600</v>
      </c>
      <c r="C730" s="6" t="n">
        <v>10600</v>
      </c>
      <c r="D730" s="16" t="s">
        <v>350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45672</v>
      </c>
      <c r="B731" s="6" t="n">
        <v>-44.88</v>
      </c>
      <c r="C731" s="6" t="n">
        <v>-44.88</v>
      </c>
      <c r="D731" s="16" t="s">
        <v>496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45672</v>
      </c>
      <c r="B732" s="6" t="n">
        <v>-26.18</v>
      </c>
      <c r="C732" s="6" t="n">
        <v>-26.18</v>
      </c>
      <c r="D732" s="16" t="s">
        <v>626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45672.738252315</v>
      </c>
      <c r="B733" s="6" t="n">
        <v>26.18</v>
      </c>
      <c r="C733" s="6" t="n">
        <v>26.18</v>
      </c>
      <c r="D733" s="16" t="s">
        <v>629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45674</v>
      </c>
      <c r="B734" s="6" t="n">
        <v>44.88</v>
      </c>
      <c r="C734" s="6" t="n">
        <v>44.88</v>
      </c>
      <c r="D734" s="16" t="s">
        <v>497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45677</v>
      </c>
      <c r="B735" s="6" t="n">
        <v>-54.35</v>
      </c>
      <c r="C735" s="6" t="n">
        <v>-54.35</v>
      </c>
      <c r="D735" s="16" t="s">
        <v>674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45677</v>
      </c>
      <c r="B736" s="6" t="n">
        <v>-165</v>
      </c>
      <c r="C736" s="6" t="n">
        <v>-165</v>
      </c>
      <c r="D736" s="16" t="s">
        <v>675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45677.790868056</v>
      </c>
      <c r="B737" s="6" t="n">
        <v>54.35</v>
      </c>
      <c r="C737" s="6" t="n">
        <v>54.35</v>
      </c>
      <c r="D737" s="16" t="s">
        <v>676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45678</v>
      </c>
      <c r="B738" s="6" t="n">
        <v>-34.28</v>
      </c>
      <c r="C738" s="6" t="n">
        <v>-34.28</v>
      </c>
      <c r="D738" s="16" t="s">
        <v>499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45679</v>
      </c>
      <c r="B739" s="6" t="n">
        <v>-55.05</v>
      </c>
      <c r="C739" s="6" t="n">
        <v>-55.05</v>
      </c>
      <c r="D739" s="16" t="s">
        <v>677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45679</v>
      </c>
      <c r="B740" s="6" t="n">
        <v>-43.38</v>
      </c>
      <c r="C740" s="6" t="n">
        <v>-43.38</v>
      </c>
      <c r="D740" s="16" t="s">
        <v>439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45679.567824074</v>
      </c>
      <c r="B741" s="6" t="n">
        <v>165</v>
      </c>
      <c r="C741" s="6" t="n">
        <v>165</v>
      </c>
      <c r="D741" s="16" t="s">
        <v>678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45679.581539352</v>
      </c>
      <c r="B742" s="6" t="n">
        <v>34.28</v>
      </c>
      <c r="C742" s="6" t="n">
        <v>34.28</v>
      </c>
      <c r="D742" s="16" t="s">
        <v>502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45680</v>
      </c>
      <c r="B743" s="6" t="n">
        <v>-11.18</v>
      </c>
      <c r="C743" s="6" t="n">
        <v>-11.18</v>
      </c>
      <c r="D743" s="16" t="s">
        <v>613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45680.485185185</v>
      </c>
      <c r="B744" s="6" t="n">
        <v>43.38</v>
      </c>
      <c r="C744" s="6" t="n">
        <v>43.38</v>
      </c>
      <c r="D744" s="16" t="s">
        <v>442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45680.691851852</v>
      </c>
      <c r="B745" s="6" t="n">
        <v>55.05</v>
      </c>
      <c r="C745" s="6" t="n">
        <v>55.05</v>
      </c>
      <c r="D745" s="16" t="s">
        <v>473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45680.762280093</v>
      </c>
      <c r="B746" s="6" t="n">
        <v>156.51</v>
      </c>
      <c r="C746" s="6" t="n">
        <v>156.51</v>
      </c>
      <c r="D746" s="16" t="s">
        <v>679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45681.534733796</v>
      </c>
      <c r="B747" s="6" t="n">
        <v>11.18</v>
      </c>
      <c r="C747" s="6" t="n">
        <v>11.18</v>
      </c>
      <c r="D747" s="16" t="s">
        <v>616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45682</v>
      </c>
      <c r="B748" s="6" t="n">
        <v>-18.98</v>
      </c>
      <c r="C748" s="6" t="n">
        <v>-18.98</v>
      </c>
      <c r="D748" s="16" t="s">
        <v>680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45682</v>
      </c>
      <c r="B749" s="6" t="n">
        <v>-36.32</v>
      </c>
      <c r="C749" s="6" t="n">
        <v>-36.32</v>
      </c>
      <c r="D749" s="16" t="s">
        <v>669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45685</v>
      </c>
      <c r="B750" s="6" t="n">
        <v>-28.22</v>
      </c>
      <c r="C750" s="6" t="n">
        <v>-28.22</v>
      </c>
      <c r="D750" s="16" t="s">
        <v>387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45685</v>
      </c>
      <c r="B751" s="6" t="n">
        <v>-1000</v>
      </c>
      <c r="C751" s="6" t="n">
        <v>-1000</v>
      </c>
      <c r="D751" s="16" t="s">
        <v>681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45685</v>
      </c>
      <c r="B752" s="6" t="n">
        <v>-38.4</v>
      </c>
      <c r="C752" s="6" t="n">
        <v>-38.4</v>
      </c>
      <c r="D752" s="16" t="s">
        <v>682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45685</v>
      </c>
      <c r="B753" s="6" t="n">
        <v>-58.34</v>
      </c>
      <c r="C753" s="6" t="n">
        <v>-58.34</v>
      </c>
      <c r="D753" s="16" t="s">
        <v>635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3" t="n">
        <v>45685.664814815</v>
      </c>
      <c r="B754" s="6" t="n">
        <v>18.98</v>
      </c>
      <c r="C754" s="6" t="n">
        <v>18.98</v>
      </c>
      <c r="D754" s="16" t="s">
        <v>520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 t="n">
        <v>45685.672835648</v>
      </c>
      <c r="B755" s="6" t="n">
        <v>36.32</v>
      </c>
      <c r="C755" s="6" t="n">
        <v>36.32</v>
      </c>
      <c r="D755" s="16" t="s">
        <v>590</v>
      </c>
      <c r="E755" s="16"/>
      <c r="F755" s="16"/>
      <c r="G755" s="6" t="s">
        <f>=A755-A754</f>
      </c>
      <c r="H755" s="6" t="s">
        <f>=B755+H754</f>
      </c>
      <c r="I755" s="6" t="s">
        <f>=G755*H754</f>
      </c>
    </row>
    <row collapsed="false" customFormat="false" customHeight="false" hidden="false" ht="12.1" outlineLevel="0" r="756">
      <c r="A756" s="13" t="n">
        <v>45686</v>
      </c>
      <c r="B756" s="6" t="n">
        <v>-137.64</v>
      </c>
      <c r="C756" s="6" t="n">
        <v>-137.64</v>
      </c>
      <c r="D756" s="16" t="s">
        <v>683</v>
      </c>
      <c r="E756" s="16"/>
      <c r="F756" s="16"/>
      <c r="G756" s="6" t="s">
        <f>=A756-A755</f>
      </c>
      <c r="H756" s="6" t="s">
        <f>=B756+H755</f>
      </c>
      <c r="I756" s="6" t="s">
        <f>=G756*H755</f>
      </c>
    </row>
    <row collapsed="false" customFormat="false" customHeight="false" hidden="false" ht="12.1" outlineLevel="0" r="757">
      <c r="A757" s="13" t="n">
        <v>45686</v>
      </c>
      <c r="B757" s="6" t="n">
        <v>-51.52</v>
      </c>
      <c r="C757" s="6" t="n">
        <v>-51.52</v>
      </c>
      <c r="D757" s="16" t="s">
        <v>684</v>
      </c>
      <c r="E757" s="16"/>
      <c r="F757" s="16"/>
      <c r="G757" s="6" t="s">
        <f>=A757-A756</f>
      </c>
      <c r="H757" s="6" t="s">
        <f>=B757+H756</f>
      </c>
      <c r="I757" s="6" t="s">
        <f>=G757*H756</f>
      </c>
    </row>
    <row collapsed="false" customFormat="false" customHeight="false" hidden="false" ht="12.1" outlineLevel="0" r="758">
      <c r="A758" s="13" t="n">
        <v>45686</v>
      </c>
      <c r="B758" s="6" t="n">
        <v>-912.6</v>
      </c>
      <c r="C758" s="6" t="n">
        <v>-912.6</v>
      </c>
      <c r="D758" s="16" t="s">
        <v>594</v>
      </c>
      <c r="E758" s="16"/>
      <c r="F758" s="16"/>
      <c r="G758" s="6" t="s">
        <f>=A758-A757</f>
      </c>
      <c r="H758" s="6" t="s">
        <f>=B758+H757</f>
      </c>
      <c r="I758" s="6" t="s">
        <f>=G758*H757</f>
      </c>
    </row>
    <row collapsed="false" customFormat="false" customHeight="false" hidden="false" ht="12.1" outlineLevel="0" r="759">
      <c r="A759" s="13" t="n">
        <v>45686</v>
      </c>
      <c r="B759" s="6" t="n">
        <v>-84.72</v>
      </c>
      <c r="C759" s="6" t="n">
        <v>-84.72</v>
      </c>
      <c r="D759" s="16" t="s">
        <v>685</v>
      </c>
      <c r="E759" s="16"/>
      <c r="F759" s="16"/>
      <c r="G759" s="6" t="s">
        <f>=A759-A758</f>
      </c>
      <c r="H759" s="6" t="s">
        <f>=B759+H758</f>
      </c>
      <c r="I759" s="6" t="s">
        <f>=G759*H758</f>
      </c>
    </row>
    <row collapsed="false" customFormat="false" customHeight="false" hidden="false" ht="12.1" outlineLevel="0" r="760">
      <c r="A760" s="13" t="n">
        <v>45686.567013889</v>
      </c>
      <c r="B760" s="6" t="n">
        <v>38.4</v>
      </c>
      <c r="C760" s="6" t="n">
        <v>38.4</v>
      </c>
      <c r="D760" s="16" t="s">
        <v>454</v>
      </c>
      <c r="E760" s="16"/>
      <c r="F760" s="16"/>
      <c r="G760" s="6" t="s">
        <f>=A760-A759</f>
      </c>
      <c r="H760" s="6" t="s">
        <f>=B760+H759</f>
      </c>
      <c r="I760" s="6" t="s">
        <f>=G760*H759</f>
      </c>
    </row>
    <row collapsed="false" customFormat="false" customHeight="false" hidden="false" ht="12.1" outlineLevel="0" r="761">
      <c r="A761" s="13" t="n">
        <v>45686.601666667</v>
      </c>
      <c r="B761" s="6" t="n">
        <v>58.34</v>
      </c>
      <c r="C761" s="6" t="n">
        <v>58.34</v>
      </c>
      <c r="D761" s="16" t="s">
        <v>595</v>
      </c>
      <c r="E761" s="16"/>
      <c r="F761" s="16"/>
      <c r="G761" s="6" t="s">
        <f>=A761-A760</f>
      </c>
      <c r="H761" s="6" t="s">
        <f>=B761+H760</f>
      </c>
      <c r="I761" s="6" t="s">
        <f>=G761*H760</f>
      </c>
    </row>
    <row collapsed="false" customFormat="false" customHeight="false" hidden="false" ht="12.1" outlineLevel="0" r="762">
      <c r="A762" s="13" t="n">
        <v>45686.633912037</v>
      </c>
      <c r="B762" s="6" t="n">
        <v>28.22</v>
      </c>
      <c r="C762" s="6" t="n">
        <v>28.22</v>
      </c>
      <c r="D762" s="16" t="s">
        <v>390</v>
      </c>
      <c r="E762" s="16"/>
      <c r="F762" s="16"/>
      <c r="G762" s="6" t="s">
        <f>=A762-A761</f>
      </c>
      <c r="H762" s="6" t="s">
        <f>=B762+H761</f>
      </c>
      <c r="I762" s="6" t="s">
        <f>=G762*H761</f>
      </c>
    </row>
    <row collapsed="false" customFormat="false" customHeight="false" hidden="false" ht="12.1" outlineLevel="0" r="763">
      <c r="A763" s="13" t="n">
        <v>45686.880185185</v>
      </c>
      <c r="B763" s="6" t="n">
        <v>84.72</v>
      </c>
      <c r="C763" s="6" t="n">
        <v>84.72</v>
      </c>
      <c r="D763" s="16" t="s">
        <v>391</v>
      </c>
      <c r="E763" s="16"/>
      <c r="F763" s="16"/>
      <c r="G763" s="6" t="s">
        <f>=A763-A762</f>
      </c>
      <c r="H763" s="6" t="s">
        <f>=B763+H762</f>
      </c>
      <c r="I763" s="6" t="s">
        <f>=G763*H762</f>
      </c>
    </row>
    <row collapsed="false" customFormat="false" customHeight="false" hidden="false" ht="12.1" outlineLevel="0" r="764">
      <c r="A764" s="13" t="n">
        <v>45686.890578704</v>
      </c>
      <c r="B764" s="6" t="n">
        <v>1000</v>
      </c>
      <c r="C764" s="6" t="n">
        <v>1000</v>
      </c>
      <c r="D764" s="16" t="s">
        <v>686</v>
      </c>
      <c r="E764" s="16"/>
      <c r="F764" s="16"/>
      <c r="G764" s="6" t="s">
        <f>=A764-A763</f>
      </c>
      <c r="H764" s="6" t="s">
        <f>=B764+H763</f>
      </c>
      <c r="I764" s="6" t="s">
        <f>=G764*H763</f>
      </c>
    </row>
    <row collapsed="false" customFormat="false" customHeight="false" hidden="false" ht="12.1" outlineLevel="0" r="765">
      <c r="A765" s="13" t="n">
        <v>45687.637233796</v>
      </c>
      <c r="B765" s="6" t="n">
        <v>912.6</v>
      </c>
      <c r="C765" s="6" t="n">
        <v>912.6</v>
      </c>
      <c r="D765" s="16" t="s">
        <v>360</v>
      </c>
      <c r="E765" s="16"/>
      <c r="F765" s="16"/>
      <c r="G765" s="6" t="s">
        <f>=A765-A764</f>
      </c>
      <c r="H765" s="6" t="s">
        <f>=B765+H764</f>
      </c>
      <c r="I765" s="6" t="s">
        <f>=G765*H764</f>
      </c>
    </row>
    <row collapsed="false" customFormat="false" customHeight="false" hidden="false" ht="12.1" outlineLevel="0" r="766">
      <c r="A766" s="13" t="n">
        <v>45687.645590278</v>
      </c>
      <c r="B766" s="6" t="n">
        <v>137.64</v>
      </c>
      <c r="C766" s="6" t="n">
        <v>137.64</v>
      </c>
      <c r="D766" s="16" t="s">
        <v>596</v>
      </c>
      <c r="E766" s="16"/>
      <c r="F766" s="16"/>
      <c r="G766" s="6" t="s">
        <f>=A766-A765</f>
      </c>
      <c r="H766" s="6" t="s">
        <f>=B766+H765</f>
      </c>
      <c r="I766" s="6" t="s">
        <f>=G766*H765</f>
      </c>
    </row>
    <row collapsed="false" customFormat="false" customHeight="false" hidden="false" ht="12.1" outlineLevel="0" r="767">
      <c r="A767" s="13" t="n">
        <v>45687.658078704</v>
      </c>
      <c r="B767" s="6" t="n">
        <v>51.52</v>
      </c>
      <c r="C767" s="6" t="n">
        <v>51.52</v>
      </c>
      <c r="D767" s="16" t="s">
        <v>475</v>
      </c>
      <c r="E767" s="16"/>
      <c r="F767" s="16"/>
      <c r="G767" s="6" t="s">
        <f>=A767-A766</f>
      </c>
      <c r="H767" s="6" t="s">
        <f>=B767+H766</f>
      </c>
      <c r="I767" s="6" t="s">
        <f>=G767*H766</f>
      </c>
    </row>
    <row collapsed="false" customFormat="false" customHeight="false" hidden="false" ht="12.1" outlineLevel="0" r="768">
      <c r="A768" s="13" t="n">
        <v>45688</v>
      </c>
      <c r="B768" s="6" t="n">
        <v>-179.52</v>
      </c>
      <c r="C768" s="6" t="n">
        <v>-179.52</v>
      </c>
      <c r="D768" s="16" t="s">
        <v>687</v>
      </c>
      <c r="E768" s="16"/>
      <c r="F768" s="16"/>
      <c r="G768" s="6" t="s">
        <f>=A768-A767</f>
      </c>
      <c r="H768" s="6" t="s">
        <f>=B768+H767</f>
      </c>
      <c r="I768" s="6" t="s">
        <f>=G768*H767</f>
      </c>
    </row>
    <row collapsed="false" customFormat="false" customHeight="false" hidden="false" ht="12.1" outlineLevel="0" r="769">
      <c r="A769" s="13" t="n">
        <v>45688</v>
      </c>
      <c r="B769" s="6" t="n">
        <v>-23.86</v>
      </c>
      <c r="C769" s="6" t="n">
        <v>-23.86</v>
      </c>
      <c r="D769" s="16" t="s">
        <v>637</v>
      </c>
      <c r="E769" s="16"/>
      <c r="F769" s="16"/>
      <c r="G769" s="6" t="s">
        <f>=A769-A768</f>
      </c>
      <c r="H769" s="6" t="s">
        <f>=B769+H768</f>
      </c>
      <c r="I769" s="6" t="s">
        <f>=G769*H768</f>
      </c>
    </row>
    <row collapsed="false" customFormat="false" customHeight="false" hidden="false" ht="12.1" outlineLevel="0" r="770">
      <c r="A770" s="13" t="n">
        <v>45689</v>
      </c>
      <c r="B770" s="6" t="n">
        <v>-53.1</v>
      </c>
      <c r="C770" s="6" t="n">
        <v>-53.1</v>
      </c>
      <c r="D770" s="16" t="s">
        <v>448</v>
      </c>
      <c r="E770" s="16"/>
      <c r="F770" s="16"/>
      <c r="G770" s="6" t="s">
        <f>=A770-A769</f>
      </c>
      <c r="H770" s="6" t="s">
        <f>=B770+H769</f>
      </c>
      <c r="I770" s="6" t="s">
        <f>=G770*H769</f>
      </c>
    </row>
    <row collapsed="false" customFormat="false" customHeight="false" hidden="false" ht="12.1" outlineLevel="0" r="771">
      <c r="A771" s="13" t="n">
        <v>45691.474548611</v>
      </c>
      <c r="B771" s="6" t="n">
        <v>179.52</v>
      </c>
      <c r="C771" s="6" t="n">
        <v>179.52</v>
      </c>
      <c r="D771" s="16" t="s">
        <v>688</v>
      </c>
      <c r="E771" s="16"/>
      <c r="F771" s="16"/>
      <c r="G771" s="6" t="s">
        <f>=A771-A770</f>
      </c>
      <c r="H771" s="6" t="s">
        <f>=B771+H770</f>
      </c>
      <c r="I771" s="6" t="s">
        <f>=G771*H770</f>
      </c>
    </row>
    <row collapsed="false" customFormat="false" customHeight="false" hidden="false" ht="12.1" outlineLevel="0" r="772">
      <c r="A772" s="13" t="n">
        <v>45691.51619213</v>
      </c>
      <c r="B772" s="6" t="n">
        <v>23.86</v>
      </c>
      <c r="C772" s="6" t="n">
        <v>23.86</v>
      </c>
      <c r="D772" s="16" t="s">
        <v>638</v>
      </c>
      <c r="E772" s="16"/>
      <c r="F772" s="16"/>
      <c r="G772" s="6" t="s">
        <f>=A772-A771</f>
      </c>
      <c r="H772" s="6" t="s">
        <f>=B772+H771</f>
      </c>
      <c r="I772" s="6" t="s">
        <f>=G772*H771</f>
      </c>
    </row>
    <row collapsed="false" customFormat="false" customHeight="false" hidden="false" ht="12.1" outlineLevel="0" r="773">
      <c r="A773" s="13" t="n">
        <v>45692.530613426</v>
      </c>
      <c r="B773" s="6" t="n">
        <v>53.1</v>
      </c>
      <c r="C773" s="6" t="n">
        <v>53.1</v>
      </c>
      <c r="D773" s="16" t="s">
        <v>393</v>
      </c>
      <c r="E773" s="16"/>
      <c r="F773" s="16"/>
      <c r="G773" s="6" t="s">
        <f>=A773-A772</f>
      </c>
      <c r="H773" s="6" t="s">
        <f>=B773+H772</f>
      </c>
      <c r="I773" s="6" t="s">
        <f>=G773*H772</f>
      </c>
    </row>
    <row collapsed="false" customFormat="false" customHeight="false" hidden="false" ht="12.1" outlineLevel="0" r="774">
      <c r="A774" s="13" t="n">
        <v>45693</v>
      </c>
      <c r="B774" s="6" t="n">
        <v>-39.16</v>
      </c>
      <c r="C774" s="6" t="n">
        <v>-39.16</v>
      </c>
      <c r="D774" s="16" t="s">
        <v>689</v>
      </c>
      <c r="E774" s="16"/>
      <c r="F774" s="16"/>
      <c r="G774" s="6" t="s">
        <f>=A774-A773</f>
      </c>
      <c r="H774" s="6" t="s">
        <f>=B774+H773</f>
      </c>
      <c r="I774" s="6" t="s">
        <f>=G774*H773</f>
      </c>
    </row>
    <row collapsed="false" customFormat="false" customHeight="false" hidden="false" ht="12.1" outlineLevel="0" r="775">
      <c r="A775" s="13" t="n">
        <v>45694.514039352</v>
      </c>
      <c r="B775" s="6" t="n">
        <v>39.16</v>
      </c>
      <c r="C775" s="6" t="n">
        <v>39.16</v>
      </c>
      <c r="D775" s="16" t="s">
        <v>598</v>
      </c>
      <c r="E775" s="16"/>
      <c r="F775" s="16"/>
      <c r="G775" s="6" t="s">
        <f>=A775-A774</f>
      </c>
      <c r="H775" s="6" t="s">
        <f>=B775+H774</f>
      </c>
      <c r="I775" s="6" t="s">
        <f>=G775*H774</f>
      </c>
    </row>
    <row collapsed="false" customFormat="false" customHeight="false" hidden="false" ht="12.1" outlineLevel="0" r="776">
      <c r="A776" s="13" t="n">
        <v>45700</v>
      </c>
      <c r="B776" s="6" t="n">
        <v>-4.67</v>
      </c>
      <c r="C776" s="6" t="n">
        <v>-4.67</v>
      </c>
      <c r="D776" s="16" t="s">
        <v>542</v>
      </c>
      <c r="E776" s="16"/>
      <c r="F776" s="16"/>
      <c r="G776" s="6" t="s">
        <f>=A776-A775</f>
      </c>
      <c r="H776" s="6" t="s">
        <f>=B776+H775</f>
      </c>
      <c r="I776" s="6" t="s">
        <f>=G776*H775</f>
      </c>
    </row>
    <row collapsed="false" customFormat="false" customHeight="false" hidden="false" ht="12.1" outlineLevel="0" r="777">
      <c r="A777" s="13" t="n">
        <v>45700</v>
      </c>
      <c r="B777" s="6" t="n">
        <v>-628.2</v>
      </c>
      <c r="C777" s="6" t="n">
        <v>-628.2</v>
      </c>
      <c r="D777" s="16" t="s">
        <v>599</v>
      </c>
      <c r="E777" s="16"/>
      <c r="F777" s="16"/>
      <c r="G777" s="6" t="s">
        <f>=A777-A776</f>
      </c>
      <c r="H777" s="6" t="s">
        <f>=B777+H776</f>
      </c>
      <c r="I777" s="6" t="s">
        <f>=G777*H776</f>
      </c>
    </row>
    <row collapsed="false" customFormat="false" customHeight="false" hidden="false" ht="12.1" outlineLevel="0" r="778">
      <c r="A778" s="13" t="n">
        <v>45700.732604167</v>
      </c>
      <c r="B778" s="6" t="n">
        <v>4.67</v>
      </c>
      <c r="C778" s="6" t="n">
        <v>4.67</v>
      </c>
      <c r="D778" s="16" t="s">
        <v>543</v>
      </c>
      <c r="E778" s="16"/>
      <c r="F778" s="16"/>
      <c r="G778" s="6" t="s">
        <f>=A778-A777</f>
      </c>
      <c r="H778" s="6" t="s">
        <f>=B778+H777</f>
      </c>
      <c r="I778" s="6" t="s">
        <f>=G778*H777</f>
      </c>
    </row>
    <row collapsed="false" customFormat="false" customHeight="false" hidden="false" ht="12.1" outlineLevel="0" r="779">
      <c r="A779" s="13" t="n">
        <v>45701.437581019</v>
      </c>
      <c r="B779" s="6" t="n">
        <v>628.2</v>
      </c>
      <c r="C779" s="6" t="n">
        <v>628.2</v>
      </c>
      <c r="D779" s="16" t="s">
        <v>395</v>
      </c>
      <c r="E779" s="16"/>
      <c r="F779" s="16"/>
      <c r="G779" s="6" t="s">
        <f>=A779-A778</f>
      </c>
      <c r="H779" s="6" t="s">
        <f>=B779+H778</f>
      </c>
      <c r="I779" s="6" t="s">
        <f>=G779*H778</f>
      </c>
    </row>
    <row collapsed="false" customFormat="false" customHeight="false" hidden="false" ht="12.1" outlineLevel="0" r="780">
      <c r="A780" s="13" t="n">
        <v>45702</v>
      </c>
      <c r="B780" s="6" t="n">
        <v>-155.58</v>
      </c>
      <c r="C780" s="6" t="n">
        <v>-155.58</v>
      </c>
      <c r="D780" s="16" t="s">
        <v>690</v>
      </c>
      <c r="E780" s="16"/>
      <c r="F780" s="16"/>
      <c r="G780" s="6" t="s">
        <f>=A780-A779</f>
      </c>
      <c r="H780" s="6" t="s">
        <f>=B780+H779</f>
      </c>
      <c r="I780" s="6" t="s">
        <f>=G780*H779</f>
      </c>
    </row>
    <row collapsed="false" customFormat="false" customHeight="false" hidden="false" ht="12.1" outlineLevel="0" r="781">
      <c r="A781" s="13" t="n">
        <v>45702</v>
      </c>
      <c r="B781" s="6" t="n">
        <v>-51.61</v>
      </c>
      <c r="C781" s="6" t="n">
        <v>-51.61</v>
      </c>
      <c r="D781" s="16" t="s">
        <v>450</v>
      </c>
      <c r="E781" s="16"/>
      <c r="F781" s="16"/>
      <c r="G781" s="6" t="s">
        <f>=A781-A780</f>
      </c>
      <c r="H781" s="6" t="s">
        <f>=B781+H780</f>
      </c>
      <c r="I781" s="6" t="s">
        <f>=G781*H780</f>
      </c>
    </row>
    <row collapsed="false" customFormat="false" customHeight="false" hidden="false" ht="12.1" outlineLevel="0" r="782">
      <c r="A782" s="13" t="n">
        <v>45702.447835648</v>
      </c>
      <c r="B782" s="6" t="n">
        <v>11200</v>
      </c>
      <c r="C782" s="6" t="n">
        <v>11200</v>
      </c>
      <c r="D782" s="16" t="s">
        <v>350</v>
      </c>
      <c r="E782" s="16"/>
      <c r="F782" s="16"/>
      <c r="G782" s="6" t="s">
        <f>=A782-A781</f>
      </c>
      <c r="H782" s="6" t="s">
        <f>=B782+H781</f>
      </c>
      <c r="I782" s="6" t="s">
        <f>=G782*H781</f>
      </c>
    </row>
    <row collapsed="false" customFormat="false" customHeight="false" hidden="false" ht="12.1" outlineLevel="0" r="783">
      <c r="A783" s="13" t="n">
        <v>45704</v>
      </c>
      <c r="B783" s="6" t="n">
        <v>-400</v>
      </c>
      <c r="C783" s="6" t="n">
        <v>-400</v>
      </c>
      <c r="D783" s="16" t="s">
        <v>600</v>
      </c>
      <c r="E783" s="16"/>
      <c r="F783" s="16"/>
      <c r="G783" s="6" t="s">
        <f>=A783-A782</f>
      </c>
      <c r="H783" s="6" t="s">
        <f>=B783+H782</f>
      </c>
      <c r="I783" s="6" t="s">
        <f>=G783*H782</f>
      </c>
    </row>
    <row collapsed="false" customFormat="false" customHeight="false" hidden="false" ht="12.1" outlineLevel="0" r="784">
      <c r="A784" s="13" t="n">
        <v>45705</v>
      </c>
      <c r="B784" s="6" t="n">
        <v>-25.92</v>
      </c>
      <c r="C784" s="6" t="n">
        <v>-25.92</v>
      </c>
      <c r="D784" s="16" t="s">
        <v>691</v>
      </c>
      <c r="E784" s="16"/>
      <c r="F784" s="16"/>
      <c r="G784" s="6" t="s">
        <f>=A784-A783</f>
      </c>
      <c r="H784" s="6" t="s">
        <f>=B784+H783</f>
      </c>
      <c r="I784" s="6" t="s">
        <f>=G784*H783</f>
      </c>
    </row>
    <row collapsed="false" customFormat="false" customHeight="false" hidden="false" ht="12.1" outlineLevel="0" r="785">
      <c r="A785" s="13" t="n">
        <v>45705.510520833</v>
      </c>
      <c r="B785" s="6" t="n">
        <v>51.61</v>
      </c>
      <c r="C785" s="6" t="n">
        <v>51.61</v>
      </c>
      <c r="D785" s="16" t="s">
        <v>453</v>
      </c>
      <c r="E785" s="16"/>
      <c r="F785" s="16"/>
      <c r="G785" s="6" t="s">
        <f>=A785-A784</f>
      </c>
      <c r="H785" s="6" t="s">
        <f>=B785+H784</f>
      </c>
      <c r="I785" s="6" t="s">
        <f>=G785*H784</f>
      </c>
    </row>
    <row collapsed="false" customFormat="false" customHeight="false" hidden="false" ht="12.1" outlineLevel="0" r="786">
      <c r="A786" s="13" t="n">
        <v>45705.514791667</v>
      </c>
      <c r="B786" s="6" t="n">
        <v>155.58</v>
      </c>
      <c r="C786" s="6" t="n">
        <v>155.58</v>
      </c>
      <c r="D786" s="16" t="s">
        <v>692</v>
      </c>
      <c r="E786" s="16"/>
      <c r="F786" s="16"/>
      <c r="G786" s="6" t="s">
        <f>=A786-A785</f>
      </c>
      <c r="H786" s="6" t="s">
        <f>=B786+H785</f>
      </c>
      <c r="I786" s="6" t="s">
        <f>=G786*H785</f>
      </c>
    </row>
    <row collapsed="false" customFormat="false" customHeight="false" hidden="false" ht="12.1" outlineLevel="0" r="787">
      <c r="A787" s="13" t="n">
        <v>45706.43306713</v>
      </c>
      <c r="B787" s="6" t="n">
        <v>400</v>
      </c>
      <c r="C787" s="6" t="n">
        <v>400</v>
      </c>
      <c r="D787" s="16" t="s">
        <v>545</v>
      </c>
      <c r="E787" s="16"/>
      <c r="F787" s="16"/>
      <c r="G787" s="6" t="s">
        <f>=A787-A786</f>
      </c>
      <c r="H787" s="6" t="s">
        <f>=B787+H786</f>
      </c>
      <c r="I787" s="6" t="s">
        <f>=G787*H786</f>
      </c>
    </row>
    <row collapsed="false" customFormat="false" customHeight="false" hidden="false" ht="12.1" outlineLevel="0" r="788">
      <c r="A788" s="13" t="n">
        <v>45706.433773148</v>
      </c>
      <c r="B788" s="6" t="n">
        <v>25.92</v>
      </c>
      <c r="C788" s="6" t="n">
        <v>25.92</v>
      </c>
      <c r="D788" s="16" t="s">
        <v>417</v>
      </c>
      <c r="E788" s="16"/>
      <c r="F788" s="16"/>
      <c r="G788" s="6" t="s">
        <f>=A788-A787</f>
      </c>
      <c r="H788" s="6" t="s">
        <f>=B788+H787</f>
      </c>
      <c r="I788" s="6" t="s">
        <f>=G788*H787</f>
      </c>
    </row>
    <row collapsed="false" customFormat="false" customHeight="false" hidden="false" ht="12.1" outlineLevel="0" r="789">
      <c r="A789" s="13" t="n">
        <v>45707</v>
      </c>
      <c r="B789" s="6" t="n">
        <v>-125</v>
      </c>
      <c r="C789" s="6" t="n">
        <v>-125</v>
      </c>
      <c r="D789" s="16" t="s">
        <v>510</v>
      </c>
      <c r="E789" s="16"/>
      <c r="F789" s="16"/>
      <c r="G789" s="6" t="s">
        <f>=A789-A788</f>
      </c>
      <c r="H789" s="6" t="s">
        <f>=B789+H788</f>
      </c>
      <c r="I789" s="6" t="s">
        <f>=G789*H788</f>
      </c>
    </row>
    <row collapsed="false" customFormat="false" customHeight="false" hidden="false" ht="12.1" outlineLevel="0" r="790">
      <c r="A790" s="13" t="n">
        <v>45708</v>
      </c>
      <c r="B790" s="6" t="n">
        <v>-8.66</v>
      </c>
      <c r="C790" s="6" t="n">
        <v>-8.66</v>
      </c>
      <c r="D790" s="16" t="s">
        <v>549</v>
      </c>
      <c r="E790" s="16"/>
      <c r="F790" s="16"/>
      <c r="G790" s="6" t="s">
        <f>=A790-A789</f>
      </c>
      <c r="H790" s="6" t="s">
        <f>=B790+H789</f>
      </c>
      <c r="I790" s="6" t="s">
        <f>=G790*H789</f>
      </c>
    </row>
    <row collapsed="false" customFormat="false" customHeight="false" hidden="false" ht="12.1" outlineLevel="0" r="791">
      <c r="A791" s="13" t="n">
        <v>45709</v>
      </c>
      <c r="B791" s="6" t="n">
        <v>-89.76</v>
      </c>
      <c r="C791" s="6" t="n">
        <v>-89.76</v>
      </c>
      <c r="D791" s="16" t="s">
        <v>693</v>
      </c>
      <c r="E791" s="16"/>
      <c r="F791" s="16"/>
      <c r="G791" s="6" t="s">
        <f>=A791-A790</f>
      </c>
      <c r="H791" s="6" t="s">
        <f>=B791+H790</f>
      </c>
      <c r="I791" s="6" t="s">
        <f>=G791*H790</f>
      </c>
    </row>
    <row collapsed="false" customFormat="false" customHeight="false" hidden="false" ht="12.1" outlineLevel="0" r="792">
      <c r="A792" s="13" t="n">
        <v>45709.443368056</v>
      </c>
      <c r="B792" s="6" t="n">
        <v>125</v>
      </c>
      <c r="C792" s="6" t="n">
        <v>125</v>
      </c>
      <c r="D792" s="16" t="s">
        <v>512</v>
      </c>
      <c r="E792" s="16"/>
      <c r="F792" s="16"/>
      <c r="G792" s="6" t="s">
        <f>=A792-A791</f>
      </c>
      <c r="H792" s="6" t="s">
        <f>=B792+H791</f>
      </c>
      <c r="I792" s="6" t="s">
        <f>=G792*H791</f>
      </c>
    </row>
    <row collapsed="false" customFormat="false" customHeight="false" hidden="false" ht="12.1" outlineLevel="0" r="793">
      <c r="A793" s="13" t="n">
        <v>45709.44431713</v>
      </c>
      <c r="B793" s="6" t="n">
        <v>8.66</v>
      </c>
      <c r="C793" s="6" t="n">
        <v>8.66</v>
      </c>
      <c r="D793" s="16" t="s">
        <v>422</v>
      </c>
      <c r="E793" s="16"/>
      <c r="F793" s="16"/>
      <c r="G793" s="6" t="s">
        <f>=A793-A792</f>
      </c>
      <c r="H793" s="6" t="s">
        <f>=B793+H792</f>
      </c>
      <c r="I793" s="6" t="s">
        <f>=G793*H792</f>
      </c>
    </row>
    <row collapsed="false" customFormat="false" customHeight="false" hidden="false" ht="12.1" outlineLevel="0" r="794">
      <c r="A794" s="13" t="n">
        <v>45710</v>
      </c>
      <c r="B794" s="6" t="n">
        <v>-11.18</v>
      </c>
      <c r="C794" s="6" t="n">
        <v>-11.18</v>
      </c>
      <c r="D794" s="16" t="s">
        <v>613</v>
      </c>
      <c r="E794" s="16"/>
      <c r="F794" s="16"/>
      <c r="G794" s="6" t="s">
        <f>=A794-A793</f>
      </c>
      <c r="H794" s="6" t="s">
        <f>=B794+H793</f>
      </c>
      <c r="I794" s="6" t="s">
        <f>=G794*H793</f>
      </c>
    </row>
    <row collapsed="false" customFormat="false" customHeight="false" hidden="false" ht="12.1" outlineLevel="0" r="795">
      <c r="A795" s="13" t="n">
        <v>45712</v>
      </c>
      <c r="B795" s="6" t="n">
        <v>-36.32</v>
      </c>
      <c r="C795" s="6" t="n">
        <v>-36.32</v>
      </c>
      <c r="D795" s="16" t="s">
        <v>669</v>
      </c>
      <c r="E795" s="16"/>
      <c r="F795" s="16"/>
      <c r="G795" s="6" t="s">
        <f>=A795-A794</f>
      </c>
      <c r="H795" s="6" t="s">
        <f>=B795+H794</f>
      </c>
      <c r="I795" s="6" t="s">
        <f>=G795*H794</f>
      </c>
    </row>
    <row collapsed="false" customFormat="false" customHeight="false" hidden="false" ht="12.1" outlineLevel="0" r="796">
      <c r="A796" s="13" t="n">
        <v>45712</v>
      </c>
      <c r="B796" s="6" t="n">
        <v>89.76</v>
      </c>
      <c r="C796" s="6" t="n">
        <v>89.76</v>
      </c>
      <c r="D796" s="16" t="s">
        <v>694</v>
      </c>
      <c r="E796" s="16"/>
      <c r="F796" s="16"/>
      <c r="G796" s="6" t="s">
        <f>=A796-A795</f>
      </c>
      <c r="H796" s="6" t="s">
        <f>=B796+H795</f>
      </c>
      <c r="I796" s="6" t="s">
        <f>=G796*H795</f>
      </c>
    </row>
    <row collapsed="false" customFormat="false" customHeight="false" hidden="false" ht="12.1" outlineLevel="0" r="797">
      <c r="A797" s="13" t="n">
        <v>45713</v>
      </c>
      <c r="B797" s="6" t="n">
        <v>-18.67</v>
      </c>
      <c r="C797" s="6" t="n">
        <v>-18.67</v>
      </c>
      <c r="D797" s="16" t="s">
        <v>695</v>
      </c>
      <c r="E797" s="16"/>
      <c r="F797" s="16"/>
      <c r="G797" s="6" t="s">
        <f>=A797-A796</f>
      </c>
      <c r="H797" s="6" t="s">
        <f>=B797+H796</f>
      </c>
      <c r="I797" s="6" t="s">
        <f>=G797*H796</f>
      </c>
    </row>
    <row collapsed="false" customFormat="false" customHeight="false" hidden="false" ht="12.1" outlineLevel="0" r="798">
      <c r="A798" s="13" t="n">
        <v>45713</v>
      </c>
      <c r="B798" s="6" t="n">
        <v>-74.79</v>
      </c>
      <c r="C798" s="6" t="n">
        <v>-74.79</v>
      </c>
      <c r="D798" s="16" t="s">
        <v>696</v>
      </c>
      <c r="E798" s="16"/>
      <c r="F798" s="16"/>
      <c r="G798" s="6" t="s">
        <f>=A798-A797</f>
      </c>
      <c r="H798" s="6" t="s">
        <f>=B798+H797</f>
      </c>
      <c r="I798" s="6" t="s">
        <f>=G798*H797</f>
      </c>
    </row>
    <row collapsed="false" customFormat="false" customHeight="false" hidden="false" ht="12.1" outlineLevel="0" r="799">
      <c r="A799" s="13" t="n">
        <v>45713.518472222</v>
      </c>
      <c r="B799" s="6" t="n">
        <v>11.18</v>
      </c>
      <c r="C799" s="6" t="n">
        <v>11.18</v>
      </c>
      <c r="D799" s="16" t="s">
        <v>616</v>
      </c>
      <c r="E799" s="16"/>
      <c r="F799" s="16"/>
      <c r="G799" s="6" t="s">
        <f>=A799-A798</f>
      </c>
      <c r="H799" s="6" t="s">
        <f>=B799+H798</f>
      </c>
      <c r="I799" s="6" t="s">
        <f>=G799*H798</f>
      </c>
    </row>
    <row collapsed="false" customFormat="false" customHeight="false" hidden="false" ht="12.1" outlineLevel="0" r="800">
      <c r="A800" s="13" t="n">
        <v>45713.522118056</v>
      </c>
      <c r="B800" s="6" t="n">
        <v>36.32</v>
      </c>
      <c r="C800" s="6" t="n">
        <v>36.32</v>
      </c>
      <c r="D800" s="16" t="s">
        <v>590</v>
      </c>
      <c r="E800" s="16"/>
      <c r="F800" s="16"/>
      <c r="G800" s="6" t="s">
        <f>=A800-A799</f>
      </c>
      <c r="H800" s="6" t="s">
        <f>=B800+H799</f>
      </c>
      <c r="I800" s="6" t="s">
        <f>=G800*H799</f>
      </c>
    </row>
    <row collapsed="false" customFormat="false" customHeight="false" hidden="false" ht="12.1" outlineLevel="0" r="801">
      <c r="A801" s="13" t="n">
        <v>45714.43125</v>
      </c>
      <c r="B801" s="6" t="n">
        <v>19475</v>
      </c>
      <c r="C801" s="6" t="n">
        <v>19475</v>
      </c>
      <c r="D801" s="16" t="s">
        <v>697</v>
      </c>
      <c r="E801" s="16"/>
      <c r="F801" s="16"/>
      <c r="G801" s="6" t="s">
        <f>=A801-A800</f>
      </c>
      <c r="H801" s="6" t="s">
        <f>=B801+H800</f>
      </c>
      <c r="I801" s="6" t="s">
        <f>=G801*H800</f>
      </c>
    </row>
    <row collapsed="false" customFormat="false" customHeight="false" hidden="false" ht="12.1" outlineLevel="0" r="802">
      <c r="A802" s="13" t="n">
        <v>45714.467361111</v>
      </c>
      <c r="B802" s="6" t="n">
        <v>-19475</v>
      </c>
      <c r="C802" s="6" t="n">
        <v>0</v>
      </c>
      <c r="D802" s="16" t="s">
        <v>350</v>
      </c>
      <c r="E802" s="16"/>
      <c r="F802" s="16"/>
      <c r="G802" s="6" t="s">
        <f>=A802-A801</f>
      </c>
      <c r="H802" s="6" t="s">
        <f>=B802+H801</f>
      </c>
      <c r="I802" s="6" t="s">
        <f>=G802*H801</f>
      </c>
    </row>
    <row collapsed="false" customFormat="false" customHeight="false" hidden="false" ht="12.1" outlineLevel="0" r="803">
      <c r="A803" s="13" t="n">
        <v>45714.564108796</v>
      </c>
      <c r="B803" s="6" t="n">
        <v>18.67</v>
      </c>
      <c r="C803" s="6" t="n">
        <v>18.67</v>
      </c>
      <c r="D803" s="16" t="s">
        <v>520</v>
      </c>
      <c r="E803" s="16"/>
      <c r="F803" s="16"/>
      <c r="G803" s="6" t="s">
        <f>=A803-A802</f>
      </c>
      <c r="H803" s="6" t="s">
        <f>=B803+H802</f>
      </c>
      <c r="I803" s="6" t="s">
        <f>=G803*H802</f>
      </c>
    </row>
    <row collapsed="false" customFormat="false" customHeight="false" hidden="false" ht="12.1" outlineLevel="0" r="804">
      <c r="A804" s="13" t="n">
        <v>45714.581469907</v>
      </c>
      <c r="B804" s="6" t="n">
        <v>74.79</v>
      </c>
      <c r="C804" s="6" t="n">
        <v>74.79</v>
      </c>
      <c r="D804" s="16" t="s">
        <v>649</v>
      </c>
      <c r="E804" s="16"/>
      <c r="F804" s="16"/>
      <c r="G804" s="6" t="s">
        <f>=A804-A803</f>
      </c>
      <c r="H804" s="6" t="s">
        <f>=B804+H803</f>
      </c>
      <c r="I804" s="6" t="s">
        <f>=G804*H803</f>
      </c>
    </row>
    <row collapsed="false" customFormat="false" customHeight="false" hidden="false" ht="12.1" outlineLevel="0" r="805">
      <c r="A805" s="13" t="n">
        <v>45716</v>
      </c>
      <c r="B805" s="6" t="n">
        <v>-37.64</v>
      </c>
      <c r="C805" s="6" t="n">
        <v>-37.64</v>
      </c>
      <c r="D805" s="16" t="s">
        <v>698</v>
      </c>
      <c r="E805" s="16"/>
      <c r="F805" s="16"/>
      <c r="G805" s="6" t="s">
        <f>=A805-A804</f>
      </c>
      <c r="H805" s="6" t="s">
        <f>=B805+H804</f>
      </c>
      <c r="I805" s="6" t="s">
        <f>=G805*H804</f>
      </c>
    </row>
    <row collapsed="false" customFormat="false" customHeight="false" hidden="false" ht="12.1" outlineLevel="0" r="806">
      <c r="A806" s="13" t="n">
        <v>45716</v>
      </c>
      <c r="B806" s="6" t="n">
        <v>-24.81</v>
      </c>
      <c r="C806" s="6" t="n">
        <v>-24.81</v>
      </c>
      <c r="D806" s="16" t="s">
        <v>379</v>
      </c>
      <c r="E806" s="16"/>
      <c r="F806" s="16"/>
      <c r="G806" s="6" t="s">
        <f>=A806-A805</f>
      </c>
      <c r="H806" s="6" t="s">
        <f>=B806+H805</f>
      </c>
      <c r="I806" s="6" t="s">
        <f>=G806*H805</f>
      </c>
    </row>
    <row collapsed="false" customFormat="false" customHeight="false" hidden="false" ht="12.1" outlineLevel="0" r="807">
      <c r="A807" s="13" t="n">
        <v>45719</v>
      </c>
      <c r="B807" s="6" t="n">
        <v>-39.9</v>
      </c>
      <c r="C807" s="6" t="n">
        <v>-39.9</v>
      </c>
      <c r="D807" s="16" t="s">
        <v>603</v>
      </c>
      <c r="E807" s="16"/>
      <c r="F807" s="16"/>
      <c r="G807" s="6" t="s">
        <f>=A807-A806</f>
      </c>
      <c r="H807" s="6" t="s">
        <f>=B807+H806</f>
      </c>
      <c r="I807" s="6" t="s">
        <f>=G807*H806</f>
      </c>
    </row>
    <row collapsed="false" customFormat="false" customHeight="false" hidden="false" ht="12.1" outlineLevel="0" r="808">
      <c r="A808" s="13" t="n">
        <v>45719.637708333</v>
      </c>
      <c r="B808" s="6" t="n">
        <v>37.64</v>
      </c>
      <c r="C808" s="6" t="n">
        <v>37.64</v>
      </c>
      <c r="D808" s="16" t="s">
        <v>454</v>
      </c>
      <c r="E808" s="16"/>
      <c r="F808" s="16"/>
      <c r="G808" s="6" t="s">
        <f>=A808-A807</f>
      </c>
      <c r="H808" s="6" t="s">
        <f>=B808+H807</f>
      </c>
      <c r="I808" s="6" t="s">
        <f>=G808*H807</f>
      </c>
    </row>
    <row collapsed="false" customFormat="false" customHeight="false" hidden="false" ht="12.1" outlineLevel="0" r="809">
      <c r="A809" s="13" t="n">
        <v>45719.63837963</v>
      </c>
      <c r="B809" s="6" t="n">
        <v>24.81</v>
      </c>
      <c r="C809" s="6" t="n">
        <v>24.81</v>
      </c>
      <c r="D809" s="16" t="s">
        <v>380</v>
      </c>
      <c r="E809" s="16"/>
      <c r="F809" s="16"/>
      <c r="G809" s="6" t="s">
        <f>=A809-A808</f>
      </c>
      <c r="H809" s="6" t="s">
        <f>=B809+H808</f>
      </c>
      <c r="I809" s="6" t="s">
        <f>=G809*H808</f>
      </c>
    </row>
    <row collapsed="false" customFormat="false" customHeight="false" hidden="false" ht="12.1" outlineLevel="0" r="810">
      <c r="A810" s="13" t="n">
        <v>45720</v>
      </c>
      <c r="B810" s="6" t="n">
        <v>-29.17</v>
      </c>
      <c r="C810" s="6" t="n">
        <v>-29.17</v>
      </c>
      <c r="D810" s="16" t="s">
        <v>651</v>
      </c>
      <c r="E810" s="16"/>
      <c r="F810" s="16"/>
      <c r="G810" s="6" t="s">
        <f>=A810-A809</f>
      </c>
      <c r="H810" s="6" t="s">
        <f>=B810+H809</f>
      </c>
      <c r="I810" s="6" t="s">
        <f>=G810*H809</f>
      </c>
    </row>
    <row collapsed="false" customFormat="false" customHeight="false" hidden="false" ht="12.1" outlineLevel="0" r="811">
      <c r="A811" s="13" t="n">
        <v>45720.419386574</v>
      </c>
      <c r="B811" s="6" t="n">
        <v>39.9</v>
      </c>
      <c r="C811" s="6" t="n">
        <v>39.9</v>
      </c>
      <c r="D811" s="16" t="s">
        <v>555</v>
      </c>
      <c r="E811" s="16"/>
      <c r="F811" s="16"/>
      <c r="G811" s="6" t="s">
        <f>=A811-A810</f>
      </c>
      <c r="H811" s="6" t="s">
        <f>=B811+H810</f>
      </c>
      <c r="I811" s="6" t="s">
        <f>=G811*H810</f>
      </c>
    </row>
    <row collapsed="false" customFormat="false" customHeight="false" hidden="false" ht="12.1" outlineLevel="0" r="812">
      <c r="A812" s="13" t="n">
        <v>45721</v>
      </c>
      <c r="B812" s="6" t="n">
        <v>-67</v>
      </c>
      <c r="C812" s="6" t="n">
        <v>-67</v>
      </c>
      <c r="D812" s="16" t="s">
        <v>513</v>
      </c>
      <c r="E812" s="16"/>
      <c r="F812" s="16"/>
      <c r="G812" s="6" t="s">
        <f>=A812-A811</f>
      </c>
      <c r="H812" s="6" t="s">
        <f>=B812+H811</f>
      </c>
      <c r="I812" s="6" t="s">
        <f>=G812*H811</f>
      </c>
    </row>
    <row collapsed="false" customFormat="false" customHeight="false" hidden="false" ht="12.1" outlineLevel="0" r="813">
      <c r="A813" s="13" t="n">
        <v>45721</v>
      </c>
      <c r="B813" s="6" t="n">
        <v>-19.55</v>
      </c>
      <c r="C813" s="6" t="n">
        <v>-19.55</v>
      </c>
      <c r="D813" s="16" t="s">
        <v>655</v>
      </c>
      <c r="E813" s="16"/>
      <c r="F813" s="16"/>
      <c r="G813" s="6" t="s">
        <f>=A813-A812</f>
      </c>
      <c r="H813" s="6" t="s">
        <f>=B813+H812</f>
      </c>
      <c r="I813" s="6" t="s">
        <f>=G813*H812</f>
      </c>
    </row>
    <row collapsed="false" customFormat="false" customHeight="false" hidden="false" ht="12.1" outlineLevel="0" r="814">
      <c r="A814" s="13" t="n">
        <v>45721</v>
      </c>
      <c r="B814" s="6" t="n">
        <v>-19.87</v>
      </c>
      <c r="C814" s="6" t="n">
        <v>-19.87</v>
      </c>
      <c r="D814" s="16" t="s">
        <v>381</v>
      </c>
      <c r="E814" s="16"/>
      <c r="F814" s="16"/>
      <c r="G814" s="6" t="s">
        <f>=A814-A813</f>
      </c>
      <c r="H814" s="6" t="s">
        <f>=B814+H813</f>
      </c>
      <c r="I814" s="6" t="s">
        <f>=G814*H813</f>
      </c>
    </row>
    <row collapsed="false" customFormat="false" customHeight="false" hidden="false" ht="12.1" outlineLevel="0" r="815">
      <c r="A815" s="13" t="n">
        <v>45721</v>
      </c>
      <c r="B815" s="6" t="n">
        <v>-87.01</v>
      </c>
      <c r="C815" s="6" t="n">
        <v>-87.01</v>
      </c>
      <c r="D815" s="16" t="s">
        <v>699</v>
      </c>
      <c r="E815" s="16"/>
      <c r="F815" s="16"/>
      <c r="G815" s="6" t="s">
        <f>=A815-A814</f>
      </c>
      <c r="H815" s="6" t="s">
        <f>=B815+H814</f>
      </c>
      <c r="I815" s="6" t="s">
        <f>=G815*H814</f>
      </c>
    </row>
    <row collapsed="false" customFormat="false" customHeight="false" hidden="false" ht="12.1" outlineLevel="0" r="816">
      <c r="A816" s="13" t="n">
        <v>45721</v>
      </c>
      <c r="B816" s="6" t="n">
        <v>-179.52</v>
      </c>
      <c r="C816" s="6" t="n">
        <v>-179.52</v>
      </c>
      <c r="D816" s="16" t="s">
        <v>604</v>
      </c>
      <c r="E816" s="16"/>
      <c r="F816" s="16"/>
      <c r="G816" s="6" t="s">
        <f>=A816-A815</f>
      </c>
      <c r="H816" s="6" t="s">
        <f>=B816+H815</f>
      </c>
      <c r="I816" s="6" t="s">
        <f>=G816*H815</f>
      </c>
    </row>
    <row collapsed="false" customFormat="false" customHeight="false" hidden="false" ht="12.1" outlineLevel="0" r="817">
      <c r="A817" s="13" t="n">
        <v>45721.587916667</v>
      </c>
      <c r="B817" s="6" t="n">
        <v>29.17</v>
      </c>
      <c r="C817" s="6" t="n">
        <v>29.17</v>
      </c>
      <c r="D817" s="16" t="s">
        <v>657</v>
      </c>
      <c r="E817" s="16"/>
      <c r="F817" s="16"/>
      <c r="G817" s="6" t="s">
        <f>=A817-A816</f>
      </c>
      <c r="H817" s="6" t="s">
        <f>=B817+H816</f>
      </c>
      <c r="I817" s="6" t="s">
        <f>=G817*H816</f>
      </c>
    </row>
    <row collapsed="false" customFormat="false" customHeight="false" hidden="false" ht="12.1" outlineLevel="0" r="818">
      <c r="A818" s="13" t="n">
        <v>45722</v>
      </c>
      <c r="B818" s="6" t="n">
        <v>-35.53</v>
      </c>
      <c r="C818" s="6" t="n">
        <v>-35.53</v>
      </c>
      <c r="D818" s="16" t="s">
        <v>659</v>
      </c>
      <c r="E818" s="16"/>
      <c r="F818" s="16"/>
      <c r="G818" s="6" t="s">
        <f>=A818-A817</f>
      </c>
      <c r="H818" s="6" t="s">
        <f>=B818+H817</f>
      </c>
      <c r="I818" s="6" t="s">
        <f>=G818*H817</f>
      </c>
    </row>
    <row collapsed="false" customFormat="false" customHeight="false" hidden="false" ht="12.1" outlineLevel="0" r="819">
      <c r="A819" s="13" t="n">
        <v>45722</v>
      </c>
      <c r="B819" s="6" t="n">
        <v>-8.15</v>
      </c>
      <c r="C819" s="6" t="n">
        <v>-8.15</v>
      </c>
      <c r="D819" s="16" t="s">
        <v>700</v>
      </c>
      <c r="E819" s="16"/>
      <c r="F819" s="16"/>
      <c r="G819" s="6" t="s">
        <f>=A819-A818</f>
      </c>
      <c r="H819" s="6" t="s">
        <f>=B819+H818</f>
      </c>
      <c r="I819" s="6" t="s">
        <f>=G819*H818</f>
      </c>
    </row>
    <row collapsed="false" customFormat="false" customHeight="false" hidden="false" ht="12.1" outlineLevel="0" r="820">
      <c r="A820" s="13" t="n">
        <v>45722</v>
      </c>
      <c r="B820" s="6" t="n">
        <v>179.52</v>
      </c>
      <c r="C820" s="6" t="n">
        <v>179.52</v>
      </c>
      <c r="D820" s="16" t="s">
        <v>607</v>
      </c>
      <c r="E820" s="16"/>
      <c r="F820" s="16"/>
      <c r="G820" s="6" t="s">
        <f>=A820-A819</f>
      </c>
      <c r="H820" s="6" t="s">
        <f>=B820+H819</f>
      </c>
      <c r="I820" s="6" t="s">
        <f>=G820*H819</f>
      </c>
    </row>
    <row collapsed="false" customFormat="false" customHeight="false" hidden="false" ht="12.1" outlineLevel="0" r="821">
      <c r="A821" s="13" t="n">
        <v>45722.43587963</v>
      </c>
      <c r="B821" s="6" t="n">
        <v>87.01</v>
      </c>
      <c r="C821" s="6" t="n">
        <v>87.01</v>
      </c>
      <c r="D821" s="16" t="s">
        <v>398</v>
      </c>
      <c r="E821" s="16"/>
      <c r="F821" s="16"/>
      <c r="G821" s="6" t="s">
        <f>=A821-A820</f>
      </c>
      <c r="H821" s="6" t="s">
        <f>=B821+H820</f>
      </c>
      <c r="I821" s="6" t="s">
        <f>=G821*H820</f>
      </c>
    </row>
    <row collapsed="false" customFormat="false" customHeight="false" hidden="false" ht="12.1" outlineLevel="0" r="822">
      <c r="A822" s="13" t="n">
        <v>45722.660231481</v>
      </c>
      <c r="B822" s="6" t="n">
        <v>19.87</v>
      </c>
      <c r="C822" s="6" t="n">
        <v>19.87</v>
      </c>
      <c r="D822" s="16" t="s">
        <v>382</v>
      </c>
      <c r="E822" s="16"/>
      <c r="F822" s="16"/>
      <c r="G822" s="6" t="s">
        <f>=A822-A821</f>
      </c>
      <c r="H822" s="6" t="s">
        <f>=B822+H821</f>
      </c>
      <c r="I822" s="6" t="s">
        <f>=G822*H821</f>
      </c>
    </row>
    <row collapsed="false" customFormat="false" customHeight="false" hidden="false" ht="12.1" outlineLevel="0" r="823">
      <c r="A823" s="13" t="n">
        <v>45722.663333333</v>
      </c>
      <c r="B823" s="6" t="n">
        <v>19.55</v>
      </c>
      <c r="C823" s="6" t="n">
        <v>19.55</v>
      </c>
      <c r="D823" s="16" t="s">
        <v>662</v>
      </c>
      <c r="E823" s="16"/>
      <c r="F823" s="16"/>
      <c r="G823" s="6" t="s">
        <f>=A823-A822</f>
      </c>
      <c r="H823" s="6" t="s">
        <f>=B823+H822</f>
      </c>
      <c r="I823" s="6" t="s">
        <f>=G823*H822</f>
      </c>
    </row>
    <row collapsed="false" customFormat="false" customHeight="false" hidden="false" ht="12.1" outlineLevel="0" r="824">
      <c r="A824" s="13" t="n">
        <v>45723.506493056</v>
      </c>
      <c r="B824" s="6" t="n">
        <v>8.15</v>
      </c>
      <c r="C824" s="6" t="n">
        <v>8.15</v>
      </c>
      <c r="D824" s="16" t="s">
        <v>517</v>
      </c>
      <c r="E824" s="16"/>
      <c r="F824" s="16"/>
      <c r="G824" s="6" t="s">
        <f>=A824-A823</f>
      </c>
      <c r="H824" s="6" t="s">
        <f>=B824+H823</f>
      </c>
      <c r="I824" s="6" t="s">
        <f>=G824*H823</f>
      </c>
    </row>
    <row collapsed="false" customFormat="false" customHeight="false" hidden="false" ht="12.1" outlineLevel="0" r="825">
      <c r="A825" s="13" t="n">
        <v>45723.507372685</v>
      </c>
      <c r="B825" s="6" t="n">
        <v>67</v>
      </c>
      <c r="C825" s="6" t="n">
        <v>67</v>
      </c>
      <c r="D825" s="16" t="s">
        <v>516</v>
      </c>
      <c r="E825" s="16"/>
      <c r="F825" s="16"/>
      <c r="G825" s="6" t="s">
        <f>=A825-A824</f>
      </c>
      <c r="H825" s="6" t="s">
        <f>=B825+H824</f>
      </c>
      <c r="I825" s="6" t="s">
        <f>=G825*H824</f>
      </c>
    </row>
    <row collapsed="false" customFormat="false" customHeight="false" hidden="false" ht="12.1" outlineLevel="0" r="826">
      <c r="A826" s="13" t="n">
        <v>45723.548414352</v>
      </c>
      <c r="B826" s="6" t="n">
        <v>35.53</v>
      </c>
      <c r="C826" s="6" t="n">
        <v>35.53</v>
      </c>
      <c r="D826" s="16" t="s">
        <v>663</v>
      </c>
      <c r="E826" s="16"/>
      <c r="F826" s="16"/>
      <c r="G826" s="6" t="s">
        <f>=A826-A825</f>
      </c>
      <c r="H826" s="6" t="s">
        <f>=B826+H825</f>
      </c>
      <c r="I826" s="6" t="s">
        <f>=G826*H825</f>
      </c>
    </row>
    <row collapsed="false" customFormat="false" customHeight="false" hidden="false" ht="12.1" outlineLevel="0" r="827">
      <c r="A827" s="13" t="n">
        <v>45729.5103125</v>
      </c>
      <c r="B827" s="6" t="n">
        <v>5000</v>
      </c>
      <c r="C827" s="6" t="n">
        <v>5000</v>
      </c>
      <c r="D827" s="16" t="s">
        <v>350</v>
      </c>
      <c r="E827" s="16"/>
      <c r="F827" s="16"/>
      <c r="G827" s="6" t="s">
        <f>=A827-A826</f>
      </c>
      <c r="H827" s="6" t="s">
        <f>=B827+H826</f>
      </c>
      <c r="I827" s="6" t="s">
        <f>=G827*H826</f>
      </c>
    </row>
    <row collapsed="false" customFormat="false" customHeight="false" hidden="false" ht="12.1" outlineLevel="0" r="828">
      <c r="A828" s="13" t="n">
        <v>45729.514479167</v>
      </c>
      <c r="B828" s="6" t="n">
        <v>6600</v>
      </c>
      <c r="C828" s="6" t="n">
        <v>6600</v>
      </c>
      <c r="D828" s="16" t="s">
        <v>350</v>
      </c>
      <c r="E828" s="16"/>
      <c r="F828" s="16"/>
      <c r="G828" s="6" t="s">
        <f>=A828-A827</f>
      </c>
      <c r="H828" s="6" t="s">
        <f>=B828+H827</f>
      </c>
      <c r="I828" s="6" t="s">
        <f>=G828*H827</f>
      </c>
    </row>
    <row collapsed="false" customFormat="false" customHeight="false" hidden="false" ht="12.1" outlineLevel="0" r="829">
      <c r="A829" s="13" t="n">
        <v>45730</v>
      </c>
      <c r="B829" s="6" t="n">
        <v>-35.66</v>
      </c>
      <c r="C829" s="6" t="n">
        <v>-35.66</v>
      </c>
      <c r="D829" s="16" t="s">
        <v>701</v>
      </c>
      <c r="E829" s="16"/>
      <c r="F829" s="16"/>
      <c r="G829" s="6" t="s">
        <f>=A829-A828</f>
      </c>
      <c r="H829" s="6" t="s">
        <f>=B829+H828</f>
      </c>
      <c r="I829" s="6" t="s">
        <f>=G829*H828</f>
      </c>
    </row>
    <row collapsed="false" customFormat="false" customHeight="false" hidden="false" ht="12.1" outlineLevel="0" r="830">
      <c r="A830" s="13" t="n">
        <v>45733.536284722</v>
      </c>
      <c r="B830" s="6" t="n">
        <v>35.66</v>
      </c>
      <c r="C830" s="6" t="n">
        <v>35.66</v>
      </c>
      <c r="D830" s="16" t="s">
        <v>702</v>
      </c>
      <c r="E830" s="16"/>
      <c r="F830" s="16"/>
      <c r="G830" s="6" t="s">
        <f>=A830-A829</f>
      </c>
      <c r="H830" s="6" t="s">
        <f>=B830+H829</f>
      </c>
      <c r="I830" s="6" t="s">
        <f>=G830*H829</f>
      </c>
    </row>
    <row collapsed="false" customFormat="false" customHeight="false" hidden="false" ht="12.1" outlineLevel="0" r="831">
      <c r="A831" s="13" t="n">
        <v>45734</v>
      </c>
      <c r="B831" s="6" t="n">
        <v>-39.39</v>
      </c>
      <c r="C831" s="6" t="n">
        <v>-39.39</v>
      </c>
      <c r="D831" s="16" t="s">
        <v>399</v>
      </c>
      <c r="E831" s="16"/>
      <c r="F831" s="16"/>
      <c r="G831" s="6" t="s">
        <f>=A831-A830</f>
      </c>
      <c r="H831" s="6" t="s">
        <f>=B831+H830</f>
      </c>
      <c r="I831" s="6" t="s">
        <f>=G831*H830</f>
      </c>
    </row>
    <row collapsed="false" customFormat="false" customHeight="false" hidden="false" ht="12.1" outlineLevel="0" r="832">
      <c r="A832" s="13" t="n">
        <v>45735</v>
      </c>
      <c r="B832" s="6" t="n">
        <v>-411.88</v>
      </c>
      <c r="C832" s="6" t="n">
        <v>-411.88</v>
      </c>
      <c r="D832" s="16" t="s">
        <v>703</v>
      </c>
      <c r="E832" s="16"/>
      <c r="F832" s="16"/>
      <c r="G832" s="6" t="s">
        <f>=A832-A831</f>
      </c>
      <c r="H832" s="6" t="s">
        <f>=B832+H831</f>
      </c>
      <c r="I832" s="6" t="s">
        <f>=G832*H831</f>
      </c>
    </row>
    <row collapsed="false" customFormat="false" customHeight="false" hidden="false" ht="12.1" outlineLevel="0" r="833">
      <c r="A833" s="13" t="n">
        <v>45735.545590278</v>
      </c>
      <c r="B833" s="6" t="n">
        <v>39.39</v>
      </c>
      <c r="C833" s="6" t="n">
        <v>39.39</v>
      </c>
      <c r="D833" s="16" t="s">
        <v>402</v>
      </c>
      <c r="E833" s="16"/>
      <c r="F833" s="16"/>
      <c r="G833" s="6" t="s">
        <f>=A833-A832</f>
      </c>
      <c r="H833" s="6" t="s">
        <f>=B833+H832</f>
      </c>
      <c r="I833" s="6" t="s">
        <f>=G833*H832</f>
      </c>
    </row>
    <row collapsed="false" customFormat="false" customHeight="false" hidden="false" ht="12.1" outlineLevel="0" r="834">
      <c r="A834" s="13" t="n">
        <v>45736.5271875</v>
      </c>
      <c r="B834" s="6" t="n">
        <v>411.88</v>
      </c>
      <c r="C834" s="6" t="n">
        <v>411.88</v>
      </c>
      <c r="D834" s="16" t="s">
        <v>362</v>
      </c>
      <c r="E834" s="16"/>
      <c r="F834" s="16"/>
      <c r="G834" s="6" t="s">
        <f>=A834-A833</f>
      </c>
      <c r="H834" s="6" t="s">
        <f>=B834+H833</f>
      </c>
      <c r="I834" s="6" t="s">
        <f>=G834*H833</f>
      </c>
    </row>
    <row collapsed="false" customFormat="false" customHeight="false" hidden="false" ht="12.1" outlineLevel="0" r="835">
      <c r="A835" s="13" t="n">
        <v>45740</v>
      </c>
      <c r="B835" s="6" t="n">
        <v>-150</v>
      </c>
      <c r="C835" s="6" t="n">
        <v>-150</v>
      </c>
      <c r="D835" s="16" t="s">
        <v>565</v>
      </c>
      <c r="E835" s="16"/>
      <c r="F835" s="16"/>
      <c r="G835" s="6" t="s">
        <f>=A835-A834</f>
      </c>
      <c r="H835" s="6" t="s">
        <f>=B835+H834</f>
      </c>
      <c r="I835" s="6" t="s">
        <f>=G835*H834</f>
      </c>
    </row>
    <row collapsed="false" customFormat="false" customHeight="false" hidden="false" ht="12.1" outlineLevel="0" r="836">
      <c r="A836" s="13" t="n">
        <v>45740</v>
      </c>
      <c r="B836" s="6" t="n">
        <v>-11.18</v>
      </c>
      <c r="C836" s="6" t="n">
        <v>-11.18</v>
      </c>
      <c r="D836" s="16" t="s">
        <v>613</v>
      </c>
      <c r="E836" s="16"/>
      <c r="F836" s="16"/>
      <c r="G836" s="6" t="s">
        <f>=A836-A835</f>
      </c>
      <c r="H836" s="6" t="s">
        <f>=B836+H835</f>
      </c>
      <c r="I836" s="6" t="s">
        <f>=G836*H835</f>
      </c>
    </row>
    <row collapsed="false" customFormat="false" customHeight="false" hidden="false" ht="12.1" outlineLevel="0" r="837">
      <c r="A837" s="13" t="n">
        <v>45740</v>
      </c>
      <c r="B837" s="6" t="n">
        <v>-90.76</v>
      </c>
      <c r="C837" s="6" t="n">
        <v>-90.76</v>
      </c>
      <c r="D837" s="16" t="s">
        <v>704</v>
      </c>
      <c r="E837" s="16"/>
      <c r="F837" s="16"/>
      <c r="G837" s="6" t="s">
        <f>=A837-A836</f>
      </c>
      <c r="H837" s="6" t="s">
        <f>=B837+H836</f>
      </c>
      <c r="I837" s="6" t="s">
        <f>=G837*H836</f>
      </c>
    </row>
    <row collapsed="false" customFormat="false" customHeight="false" hidden="false" ht="12.1" outlineLevel="0" r="838">
      <c r="A838" s="13" t="n">
        <v>45741</v>
      </c>
      <c r="B838" s="6" t="n">
        <v>-3.93</v>
      </c>
      <c r="C838" s="6" t="n">
        <v>-3.93</v>
      </c>
      <c r="D838" s="16" t="s">
        <v>705</v>
      </c>
      <c r="E838" s="16"/>
      <c r="F838" s="16"/>
      <c r="G838" s="6" t="s">
        <f>=A838-A837</f>
      </c>
      <c r="H838" s="6" t="s">
        <f>=B838+H837</f>
      </c>
      <c r="I838" s="6" t="s">
        <f>=G838*H837</f>
      </c>
    </row>
    <row collapsed="false" customFormat="false" customHeight="false" hidden="false" ht="12.1" outlineLevel="0" r="839">
      <c r="A839" s="13" t="n">
        <v>45741.604328704</v>
      </c>
      <c r="B839" s="6" t="n">
        <v>11.18</v>
      </c>
      <c r="C839" s="6" t="n">
        <v>11.18</v>
      </c>
      <c r="D839" s="16" t="s">
        <v>616</v>
      </c>
      <c r="E839" s="16"/>
      <c r="F839" s="16"/>
      <c r="G839" s="6" t="s">
        <f>=A839-A838</f>
      </c>
      <c r="H839" s="6" t="s">
        <f>=B839+H838</f>
      </c>
      <c r="I839" s="6" t="s">
        <f>=G839*H838</f>
      </c>
    </row>
    <row collapsed="false" customFormat="false" customHeight="false" hidden="false" ht="12.1" outlineLevel="0" r="840">
      <c r="A840" s="13" t="n">
        <v>45741.619259259</v>
      </c>
      <c r="B840" s="6" t="n">
        <v>90.76</v>
      </c>
      <c r="C840" s="6" t="n">
        <v>90.76</v>
      </c>
      <c r="D840" s="16" t="s">
        <v>706</v>
      </c>
      <c r="E840" s="16"/>
      <c r="F840" s="16"/>
      <c r="G840" s="6" t="s">
        <f>=A840-A839</f>
      </c>
      <c r="H840" s="6" t="s">
        <f>=B840+H839</f>
      </c>
      <c r="I840" s="6" t="s">
        <f>=G840*H839</f>
      </c>
    </row>
    <row collapsed="false" customFormat="false" customHeight="false" hidden="false" ht="12.1" outlineLevel="0" r="841">
      <c r="A841" s="13" t="n">
        <v>45742</v>
      </c>
      <c r="B841" s="6" t="n">
        <v>-392.7</v>
      </c>
      <c r="C841" s="6" t="n">
        <v>-392.7</v>
      </c>
      <c r="D841" s="16" t="s">
        <v>612</v>
      </c>
      <c r="E841" s="16"/>
      <c r="F841" s="16"/>
      <c r="G841" s="6" t="s">
        <f>=A841-A840</f>
      </c>
      <c r="H841" s="6" t="s">
        <f>=B841+H840</f>
      </c>
      <c r="I841" s="6" t="s">
        <f>=G841*H840</f>
      </c>
    </row>
    <row collapsed="false" customFormat="false" customHeight="false" hidden="false" ht="12.1" outlineLevel="0" r="842">
      <c r="A842" s="13" t="n">
        <v>45742</v>
      </c>
      <c r="B842" s="6" t="n">
        <v>-299.2</v>
      </c>
      <c r="C842" s="6" t="n">
        <v>-299.2</v>
      </c>
      <c r="D842" s="16" t="s">
        <v>707</v>
      </c>
      <c r="E842" s="16"/>
      <c r="F842" s="16"/>
      <c r="G842" s="6" t="s">
        <f>=A842-A841</f>
      </c>
      <c r="H842" s="6" t="s">
        <f>=B842+H841</f>
      </c>
      <c r="I842" s="6" t="s">
        <f>=G842*H841</f>
      </c>
    </row>
    <row collapsed="false" customFormat="false" customHeight="false" hidden="false" ht="12.1" outlineLevel="0" r="843">
      <c r="A843" s="13" t="n">
        <v>45742</v>
      </c>
      <c r="B843" s="6" t="n">
        <v>-423.8</v>
      </c>
      <c r="C843" s="6" t="n">
        <v>-423.8</v>
      </c>
      <c r="D843" s="16" t="s">
        <v>708</v>
      </c>
      <c r="E843" s="16"/>
      <c r="F843" s="16"/>
      <c r="G843" s="6" t="s">
        <f>=A843-A842</f>
      </c>
      <c r="H843" s="6" t="s">
        <f>=B843+H842</f>
      </c>
      <c r="I843" s="6" t="s">
        <f>=G843*H842</f>
      </c>
    </row>
    <row collapsed="false" customFormat="false" customHeight="false" hidden="false" ht="12.1" outlineLevel="0" r="844">
      <c r="A844" s="13" t="n">
        <v>45742</v>
      </c>
      <c r="B844" s="6" t="n">
        <v>-68.52</v>
      </c>
      <c r="C844" s="6" t="n">
        <v>-68.52</v>
      </c>
      <c r="D844" s="16" t="s">
        <v>709</v>
      </c>
      <c r="E844" s="16"/>
      <c r="F844" s="16"/>
      <c r="G844" s="6" t="s">
        <f>=A844-A843</f>
      </c>
      <c r="H844" s="6" t="s">
        <f>=B844+H843</f>
      </c>
      <c r="I844" s="6" t="s">
        <f>=G844*H843</f>
      </c>
    </row>
    <row collapsed="false" customFormat="false" customHeight="false" hidden="false" ht="12.1" outlineLevel="0" r="845">
      <c r="A845" s="13" t="n">
        <v>45742</v>
      </c>
      <c r="B845" s="6" t="n">
        <v>-36.32</v>
      </c>
      <c r="C845" s="6" t="n">
        <v>-36.32</v>
      </c>
      <c r="D845" s="16" t="s">
        <v>669</v>
      </c>
      <c r="E845" s="16"/>
      <c r="F845" s="16"/>
      <c r="G845" s="6" t="s">
        <f>=A845-A844</f>
      </c>
      <c r="H845" s="6" t="s">
        <f>=B845+H844</f>
      </c>
      <c r="I845" s="6" t="s">
        <f>=G845*H844</f>
      </c>
    </row>
    <row collapsed="false" customFormat="false" customHeight="false" hidden="false" ht="12.1" outlineLevel="0" r="846">
      <c r="A846" s="13" t="n">
        <v>45742.430509259</v>
      </c>
      <c r="B846" s="6" t="n">
        <v>3.93</v>
      </c>
      <c r="C846" s="6" t="n">
        <v>3.93</v>
      </c>
      <c r="D846" s="16" t="s">
        <v>462</v>
      </c>
      <c r="E846" s="16"/>
      <c r="F846" s="16"/>
      <c r="G846" s="6" t="s">
        <f>=A846-A845</f>
      </c>
      <c r="H846" s="6" t="s">
        <f>=B846+H845</f>
      </c>
      <c r="I846" s="6" t="s">
        <f>=G846*H845</f>
      </c>
    </row>
    <row collapsed="false" customFormat="false" customHeight="false" hidden="false" ht="12.1" outlineLevel="0" r="847">
      <c r="A847" s="13" t="n">
        <v>45742.449675926</v>
      </c>
      <c r="B847" s="6" t="n">
        <v>150</v>
      </c>
      <c r="C847" s="6" t="n">
        <v>150</v>
      </c>
      <c r="D847" s="16" t="s">
        <v>710</v>
      </c>
      <c r="E847" s="16"/>
      <c r="F847" s="16"/>
      <c r="G847" s="6" t="s">
        <f>=A847-A846</f>
      </c>
      <c r="H847" s="6" t="s">
        <f>=B847+H846</f>
      </c>
      <c r="I847" s="6" t="s">
        <f>=G847*H846</f>
      </c>
    </row>
    <row collapsed="false" customFormat="false" customHeight="false" hidden="false" ht="12.1" outlineLevel="0" r="848">
      <c r="A848" s="13" t="n">
        <v>45742.749884259</v>
      </c>
      <c r="B848" s="6" t="n">
        <v>299.2</v>
      </c>
      <c r="C848" s="6" t="n">
        <v>299.2</v>
      </c>
      <c r="D848" s="16" t="s">
        <v>711</v>
      </c>
      <c r="E848" s="16"/>
      <c r="F848" s="16"/>
      <c r="G848" s="6" t="s">
        <f>=A848-A847</f>
      </c>
      <c r="H848" s="6" t="s">
        <f>=B848+H847</f>
      </c>
      <c r="I848" s="6" t="s">
        <f>=G848*H847</f>
      </c>
    </row>
    <row collapsed="false" customFormat="false" customHeight="false" hidden="false" ht="12.1" outlineLevel="0" r="849">
      <c r="A849" s="13" t="n">
        <v>45743.419722222</v>
      </c>
      <c r="B849" s="6" t="n">
        <v>392.7</v>
      </c>
      <c r="C849" s="6" t="n">
        <v>392.7</v>
      </c>
      <c r="D849" s="16" t="s">
        <v>527</v>
      </c>
      <c r="E849" s="16"/>
      <c r="F849" s="16"/>
      <c r="G849" s="6" t="s">
        <f>=A849-A848</f>
      </c>
      <c r="H849" s="6" t="s">
        <f>=B849+H848</f>
      </c>
      <c r="I849" s="6" t="s">
        <f>=G849*H848</f>
      </c>
    </row>
    <row collapsed="false" customFormat="false" customHeight="false" hidden="false" ht="12.1" outlineLevel="0" r="850">
      <c r="A850" s="13" t="n">
        <v>45743.488877315</v>
      </c>
      <c r="B850" s="6" t="n">
        <v>36.32</v>
      </c>
      <c r="C850" s="6" t="n">
        <v>36.32</v>
      </c>
      <c r="D850" s="16" t="s">
        <v>590</v>
      </c>
      <c r="E850" s="16"/>
      <c r="F850" s="16"/>
      <c r="G850" s="6" t="s">
        <f>=A850-A849</f>
      </c>
      <c r="H850" s="6" t="s">
        <f>=B850+H849</f>
      </c>
      <c r="I850" s="6" t="s">
        <f>=G850*H849</f>
      </c>
    </row>
    <row collapsed="false" customFormat="false" customHeight="false" hidden="false" ht="12.1" outlineLevel="0" r="851">
      <c r="A851" s="13" t="n">
        <v>45743.526921296</v>
      </c>
      <c r="B851" s="6" t="n">
        <v>423.8</v>
      </c>
      <c r="C851" s="6" t="n">
        <v>423.8</v>
      </c>
      <c r="D851" s="16" t="s">
        <v>528</v>
      </c>
      <c r="E851" s="16"/>
      <c r="F851" s="16"/>
      <c r="G851" s="6" t="s">
        <f>=A851-A850</f>
      </c>
      <c r="H851" s="6" t="s">
        <f>=B851+H850</f>
      </c>
      <c r="I851" s="6" t="s">
        <f>=G851*H850</f>
      </c>
    </row>
    <row collapsed="false" customFormat="false" customHeight="false" hidden="false" ht="12.1" outlineLevel="0" r="852">
      <c r="A852" s="13" t="n">
        <v>45743.5475</v>
      </c>
      <c r="B852" s="6" t="n">
        <v>68.52</v>
      </c>
      <c r="C852" s="6" t="n">
        <v>68.52</v>
      </c>
      <c r="D852" s="16" t="s">
        <v>404</v>
      </c>
      <c r="E852" s="16"/>
      <c r="F852" s="16"/>
      <c r="G852" s="6" t="s">
        <f>=A852-A851</f>
      </c>
      <c r="H852" s="6" t="s">
        <f>=B852+H851</f>
      </c>
      <c r="I852" s="6" t="s">
        <f>=G852*H851</f>
      </c>
    </row>
    <row collapsed="false" customFormat="false" customHeight="false" hidden="false" ht="12.1" outlineLevel="0" r="853">
      <c r="A853" s="13" t="n">
        <v>45744</v>
      </c>
      <c r="B853" s="6" t="n">
        <v>-52.36</v>
      </c>
      <c r="C853" s="6" t="n">
        <v>-52.36</v>
      </c>
      <c r="D853" s="16" t="s">
        <v>712</v>
      </c>
      <c r="E853" s="16"/>
      <c r="F853" s="16"/>
      <c r="G853" s="6" t="s">
        <f>=A853-A852</f>
      </c>
      <c r="H853" s="6" t="s">
        <f>=B853+H852</f>
      </c>
      <c r="I853" s="6" t="s">
        <f>=G853*H852</f>
      </c>
    </row>
    <row collapsed="false" customFormat="false" customHeight="false" hidden="false" ht="12.1" outlineLevel="0" r="854">
      <c r="A854" s="13" t="n">
        <v>45744</v>
      </c>
      <c r="B854" s="6" t="n">
        <v>-18.7</v>
      </c>
      <c r="C854" s="6" t="n">
        <v>-18.7</v>
      </c>
      <c r="D854" s="16" t="s">
        <v>713</v>
      </c>
      <c r="E854" s="16"/>
      <c r="F854" s="16"/>
      <c r="G854" s="6" t="s">
        <f>=A854-A853</f>
      </c>
      <c r="H854" s="6" t="s">
        <f>=B854+H853</f>
      </c>
      <c r="I854" s="6" t="s">
        <f>=G854*H853</f>
      </c>
    </row>
    <row collapsed="false" customFormat="false" customHeight="false" hidden="false" ht="12.1" outlineLevel="0" r="855">
      <c r="A855" s="13" t="n">
        <v>45747</v>
      </c>
      <c r="B855" s="6" t="n">
        <v>-37.72</v>
      </c>
      <c r="C855" s="6" t="n">
        <v>-37.72</v>
      </c>
      <c r="D855" s="16" t="s">
        <v>714</v>
      </c>
      <c r="E855" s="16"/>
      <c r="F855" s="16"/>
      <c r="G855" s="6" t="s">
        <f>=A855-A854</f>
      </c>
      <c r="H855" s="6" t="s">
        <f>=B855+H854</f>
      </c>
      <c r="I855" s="6" t="s">
        <f>=G855*H854</f>
      </c>
    </row>
    <row collapsed="false" customFormat="false" customHeight="false" hidden="false" ht="12.1" outlineLevel="0" r="856">
      <c r="A856" s="13" t="n">
        <v>45747.474895833</v>
      </c>
      <c r="B856" s="6" t="n">
        <v>52.36</v>
      </c>
      <c r="C856" s="6" t="n">
        <v>52.36</v>
      </c>
      <c r="D856" s="16" t="s">
        <v>715</v>
      </c>
      <c r="E856" s="16"/>
      <c r="F856" s="16"/>
      <c r="G856" s="6" t="s">
        <f>=A856-A855</f>
      </c>
      <c r="H856" s="6" t="s">
        <f>=B856+H855</f>
      </c>
      <c r="I856" s="6" t="s">
        <f>=G856*H855</f>
      </c>
    </row>
    <row collapsed="false" customFormat="false" customHeight="false" hidden="false" ht="12.1" outlineLevel="0" r="857">
      <c r="A857" s="13" t="n">
        <v>45747.499525463</v>
      </c>
      <c r="B857" s="6" t="n">
        <v>18.7</v>
      </c>
      <c r="C857" s="6" t="n">
        <v>18.7</v>
      </c>
      <c r="D857" s="16" t="s">
        <v>520</v>
      </c>
      <c r="E857" s="16"/>
      <c r="F857" s="16"/>
      <c r="G857" s="6" t="s">
        <f>=A857-A856</f>
      </c>
      <c r="H857" s="6" t="s">
        <f>=B857+H856</f>
      </c>
      <c r="I857" s="6" t="s">
        <f>=G857*H856</f>
      </c>
    </row>
    <row collapsed="false" customFormat="false" customHeight="false" hidden="false" ht="12.1" outlineLevel="0" r="858">
      <c r="A858" s="13" t="n">
        <v>45748.536886574</v>
      </c>
      <c r="B858" s="6" t="n">
        <v>37.72</v>
      </c>
      <c r="C858" s="6" t="n">
        <v>37.72</v>
      </c>
      <c r="D858" s="16" t="s">
        <v>454</v>
      </c>
      <c r="E858" s="16"/>
      <c r="F858" s="16"/>
      <c r="G858" s="6" t="s">
        <f>=A858-A857</f>
      </c>
      <c r="H858" s="6" t="s">
        <f>=B858+H857</f>
      </c>
      <c r="I858" s="6" t="s">
        <f>=G858*H857</f>
      </c>
    </row>
    <row collapsed="false" customFormat="false" customHeight="false" hidden="false" ht="12.1" outlineLevel="0" r="859">
      <c r="A859" s="13" t="n">
        <v>45749</v>
      </c>
      <c r="B859" s="6" t="n">
        <v>-652.63</v>
      </c>
      <c r="C859" s="6" t="n">
        <v>-652.63</v>
      </c>
      <c r="D859" s="16" t="s">
        <v>716</v>
      </c>
      <c r="E859" s="16"/>
      <c r="F859" s="16"/>
      <c r="G859" s="6" t="s">
        <f>=A859-A858</f>
      </c>
      <c r="H859" s="6" t="s">
        <f>=B859+H858</f>
      </c>
      <c r="I859" s="6" t="s">
        <f>=G859*H858</f>
      </c>
    </row>
    <row collapsed="false" customFormat="false" customHeight="false" hidden="false" ht="12.1" outlineLevel="0" r="860">
      <c r="A860" s="13" t="n">
        <v>45749</v>
      </c>
      <c r="B860" s="6" t="n">
        <v>-345.51</v>
      </c>
      <c r="C860" s="6" t="n">
        <v>-345.51</v>
      </c>
      <c r="D860" s="16" t="s">
        <v>717</v>
      </c>
      <c r="E860" s="16"/>
      <c r="F860" s="16"/>
      <c r="G860" s="6" t="s">
        <f>=A860-A859</f>
      </c>
      <c r="H860" s="6" t="s">
        <f>=B860+H859</f>
      </c>
      <c r="I860" s="6" t="s">
        <f>=G860*H859</f>
      </c>
    </row>
    <row collapsed="false" customFormat="false" customHeight="false" hidden="false" ht="12.1" outlineLevel="0" r="861">
      <c r="A861" s="13" t="n">
        <v>45750</v>
      </c>
      <c r="B861" s="6" t="n">
        <v>-6.98</v>
      </c>
      <c r="C861" s="6" t="n">
        <v>-6.98</v>
      </c>
      <c r="D861" s="16" t="s">
        <v>621</v>
      </c>
      <c r="E861" s="16"/>
      <c r="F861" s="16"/>
      <c r="G861" s="6" t="s">
        <f>=A861-A860</f>
      </c>
      <c r="H861" s="6" t="s">
        <f>=B861+H860</f>
      </c>
      <c r="I861" s="6" t="s">
        <f>=G861*H860</f>
      </c>
    </row>
    <row collapsed="false" customFormat="false" customHeight="false" hidden="false" ht="12.1" outlineLevel="0" r="862">
      <c r="A862" s="13" t="n">
        <v>45750.429351852</v>
      </c>
      <c r="B862" s="6" t="n">
        <v>345.51</v>
      </c>
      <c r="C862" s="6" t="n">
        <v>345.51</v>
      </c>
      <c r="D862" s="16" t="s">
        <v>407</v>
      </c>
      <c r="E862" s="16"/>
      <c r="F862" s="16"/>
      <c r="G862" s="6" t="s">
        <f>=A862-A861</f>
      </c>
      <c r="H862" s="6" t="s">
        <f>=B862+H861</f>
      </c>
      <c r="I862" s="6" t="s">
        <f>=G862*H861</f>
      </c>
    </row>
    <row collapsed="false" customFormat="false" customHeight="false" hidden="false" ht="12.1" outlineLevel="0" r="863">
      <c r="A863" s="13" t="n">
        <v>45750.472719907</v>
      </c>
      <c r="B863" s="6" t="n">
        <v>652.63</v>
      </c>
      <c r="C863" s="6" t="n">
        <v>652.63</v>
      </c>
      <c r="D863" s="16" t="s">
        <v>408</v>
      </c>
      <c r="E863" s="16"/>
      <c r="F863" s="16"/>
      <c r="G863" s="6" t="s">
        <f>=A863-A862</f>
      </c>
      <c r="H863" s="6" t="s">
        <f>=B863+H862</f>
      </c>
      <c r="I863" s="6" t="s">
        <f>=G863*H862</f>
      </c>
    </row>
    <row collapsed="false" customFormat="false" customHeight="false" hidden="false" ht="12.1" outlineLevel="0" r="864">
      <c r="A864" s="13" t="n">
        <v>45751.463171296</v>
      </c>
      <c r="B864" s="6" t="n">
        <v>6.98</v>
      </c>
      <c r="C864" s="6" t="n">
        <v>6.98</v>
      </c>
      <c r="D864" s="16" t="s">
        <v>355</v>
      </c>
      <c r="E864" s="16"/>
      <c r="F864" s="16"/>
      <c r="G864" s="6" t="s">
        <f>=A864-A863</f>
      </c>
      <c r="H864" s="6" t="s">
        <f>=B864+H863</f>
      </c>
      <c r="I864" s="6" t="s">
        <f>=G864*H863</f>
      </c>
    </row>
    <row collapsed="false" customFormat="false" customHeight="false" hidden="false" ht="12.1" outlineLevel="0" r="865">
      <c r="A865" s="13" t="n">
        <v>45751.535983796</v>
      </c>
      <c r="B865" s="6" t="n">
        <v>5000</v>
      </c>
      <c r="C865" s="6" t="n">
        <v>5000</v>
      </c>
      <c r="D865" s="16" t="s">
        <v>350</v>
      </c>
      <c r="E865" s="16"/>
      <c r="F865" s="16"/>
      <c r="G865" s="6" t="s">
        <f>=A865-A864</f>
      </c>
      <c r="H865" s="6" t="s">
        <f>=B865+H864</f>
      </c>
      <c r="I865" s="6" t="s">
        <f>=G865*H864</f>
      </c>
    </row>
    <row collapsed="false" customFormat="false" customHeight="false" hidden="false" ht="12.1" outlineLevel="0" r="866">
      <c r="A866" s="13" t="n">
        <v>45751.536099537</v>
      </c>
      <c r="B866" s="6" t="n">
        <v>6820</v>
      </c>
      <c r="C866" s="6" t="n">
        <v>6820</v>
      </c>
      <c r="D866" s="16" t="s">
        <v>350</v>
      </c>
      <c r="E866" s="16"/>
      <c r="F866" s="16"/>
      <c r="G866" s="6" t="s">
        <f>=A866-A865</f>
      </c>
      <c r="H866" s="6" t="s">
        <f>=B866+H865</f>
      </c>
      <c r="I866" s="6" t="s">
        <f>=G866*H865</f>
      </c>
    </row>
    <row collapsed="false" customFormat="false" customHeight="false" hidden="false" ht="12.1" outlineLevel="0" r="867">
      <c r="A867" s="13" t="n">
        <v>45753</v>
      </c>
      <c r="B867" s="6" t="n">
        <v>-18.76</v>
      </c>
      <c r="C867" s="6" t="n">
        <v>-18.76</v>
      </c>
      <c r="D867" s="16" t="s">
        <v>718</v>
      </c>
      <c r="E867" s="16"/>
      <c r="F867" s="16"/>
      <c r="G867" s="6" t="s">
        <f>=A867-A866</f>
      </c>
      <c r="H867" s="6" t="s">
        <f>=B867+H866</f>
      </c>
      <c r="I867" s="6" t="s">
        <f>=G867*H866</f>
      </c>
    </row>
    <row collapsed="false" customFormat="false" customHeight="false" hidden="false" ht="12.1" outlineLevel="0" r="868">
      <c r="A868" s="13" t="n">
        <v>45756</v>
      </c>
      <c r="B868" s="6" t="n">
        <v>-179.52</v>
      </c>
      <c r="C868" s="6" t="n">
        <v>-179.52</v>
      </c>
      <c r="D868" s="16" t="s">
        <v>719</v>
      </c>
      <c r="E868" s="16"/>
      <c r="F868" s="16"/>
      <c r="G868" s="6" t="s">
        <f>=A868-A867</f>
      </c>
      <c r="H868" s="6" t="s">
        <f>=B868+H867</f>
      </c>
      <c r="I868" s="6" t="s">
        <f>=G868*H867</f>
      </c>
    </row>
    <row collapsed="false" customFormat="false" customHeight="false" hidden="false" ht="12.1" outlineLevel="0" r="869">
      <c r="A869" s="13" t="n">
        <v>45756</v>
      </c>
      <c r="B869" s="6" t="n">
        <v>-450.75</v>
      </c>
      <c r="C869" s="6" t="n">
        <v>-450.75</v>
      </c>
      <c r="D869" s="16" t="s">
        <v>720</v>
      </c>
      <c r="E869" s="16"/>
      <c r="F869" s="16"/>
      <c r="G869" s="6" t="s">
        <f>=A869-A868</f>
      </c>
      <c r="H869" s="6" t="s">
        <f>=B869+H868</f>
      </c>
      <c r="I869" s="6" t="s">
        <f>=G869*H868</f>
      </c>
    </row>
    <row collapsed="false" customFormat="false" customHeight="false" hidden="false" ht="12.1" outlineLevel="0" r="870">
      <c r="A870" s="13" t="n">
        <v>45757</v>
      </c>
      <c r="B870" s="6" t="n">
        <v>179.52</v>
      </c>
      <c r="C870" s="6" t="n">
        <v>179.52</v>
      </c>
      <c r="D870" s="16" t="s">
        <v>721</v>
      </c>
      <c r="E870" s="16"/>
      <c r="F870" s="16"/>
      <c r="G870" s="6" t="s">
        <f>=A870-A869</f>
      </c>
      <c r="H870" s="6" t="s">
        <f>=B870+H869</f>
      </c>
      <c r="I870" s="6" t="s">
        <f>=G870*H869</f>
      </c>
    </row>
    <row collapsed="false" customFormat="false" customHeight="false" hidden="false" ht="12.1" outlineLevel="0" r="871">
      <c r="A871" s="13" t="n">
        <v>45757.582384259</v>
      </c>
      <c r="B871" s="6" t="n">
        <v>450.75</v>
      </c>
      <c r="C871" s="6" t="n">
        <v>450.75</v>
      </c>
      <c r="D871" s="16" t="s">
        <v>410</v>
      </c>
      <c r="E871" s="16"/>
      <c r="F871" s="16"/>
      <c r="G871" s="6" t="s">
        <f>=A871-A870</f>
      </c>
      <c r="H871" s="6" t="s">
        <f>=B871+H870</f>
      </c>
      <c r="I871" s="6" t="s">
        <f>=G871*H870</f>
      </c>
    </row>
    <row collapsed="false" customFormat="false" customHeight="false" hidden="false" ht="12.1" outlineLevel="0" r="872">
      <c r="A872" s="13" t="n">
        <v>45762</v>
      </c>
      <c r="B872" s="6" t="n">
        <v>-18.84</v>
      </c>
      <c r="C872" s="6" t="n">
        <v>-18.84</v>
      </c>
      <c r="D872" s="16" t="s">
        <v>722</v>
      </c>
      <c r="E872" s="16"/>
      <c r="F872" s="16"/>
      <c r="G872" s="6" t="s">
        <f>=A872-A871</f>
      </c>
      <c r="H872" s="6" t="s">
        <f>=B872+H871</f>
      </c>
      <c r="I872" s="6" t="s">
        <f>=G872*H871</f>
      </c>
    </row>
    <row collapsed="false" customFormat="false" customHeight="false" hidden="false" ht="12.1" outlineLevel="0" r="873">
      <c r="A873" s="13" t="n">
        <v>45762</v>
      </c>
      <c r="B873" s="6" t="n">
        <v>-24.93</v>
      </c>
      <c r="C873" s="6" t="n">
        <v>-24.93</v>
      </c>
      <c r="D873" s="16" t="s">
        <v>723</v>
      </c>
      <c r="E873" s="16"/>
      <c r="F873" s="16"/>
      <c r="G873" s="6" t="s">
        <f>=A873-A872</f>
      </c>
      <c r="H873" s="6" t="s">
        <f>=B873+H872</f>
      </c>
      <c r="I873" s="6" t="s">
        <f>=G873*H872</f>
      </c>
    </row>
    <row collapsed="false" customFormat="false" customHeight="false" hidden="false" ht="12.1" outlineLevel="0" r="874">
      <c r="A874" s="13" t="n">
        <v>45763</v>
      </c>
      <c r="B874" s="6" t="n">
        <v>-26.18</v>
      </c>
      <c r="C874" s="6" t="n">
        <v>-26.18</v>
      </c>
      <c r="D874" s="16" t="s">
        <v>626</v>
      </c>
      <c r="E874" s="16"/>
      <c r="F874" s="16"/>
      <c r="G874" s="6" t="s">
        <f>=A874-A873</f>
      </c>
      <c r="H874" s="6" t="s">
        <f>=B874+H873</f>
      </c>
      <c r="I874" s="6" t="s">
        <f>=G874*H873</f>
      </c>
    </row>
    <row collapsed="false" customFormat="false" customHeight="false" hidden="false" ht="12.1" outlineLevel="0" r="875">
      <c r="A875" s="13" t="n">
        <v>45763</v>
      </c>
      <c r="B875" s="6" t="n">
        <v>-97.23</v>
      </c>
      <c r="C875" s="6" t="n">
        <v>-97.23</v>
      </c>
      <c r="D875" s="16" t="s">
        <v>724</v>
      </c>
      <c r="E875" s="16"/>
      <c r="F875" s="16"/>
      <c r="G875" s="6" t="s">
        <f>=A875-A874</f>
      </c>
      <c r="H875" s="6" t="s">
        <f>=B875+H874</f>
      </c>
      <c r="I875" s="6" t="s">
        <f>=G875*H874</f>
      </c>
    </row>
    <row collapsed="false" customFormat="false" customHeight="false" hidden="false" ht="12.1" outlineLevel="0" r="876">
      <c r="A876" s="13" t="n">
        <v>45763</v>
      </c>
      <c r="B876" s="6" t="n">
        <v>-495.95</v>
      </c>
      <c r="C876" s="6" t="n">
        <v>-495.95</v>
      </c>
      <c r="D876" s="16" t="s">
        <v>725</v>
      </c>
      <c r="E876" s="16"/>
      <c r="F876" s="16"/>
      <c r="G876" s="6" t="s">
        <f>=A876-A875</f>
      </c>
      <c r="H876" s="6" t="s">
        <f>=B876+H875</f>
      </c>
      <c r="I876" s="6" t="s">
        <f>=G876*H875</f>
      </c>
    </row>
    <row collapsed="false" customFormat="false" customHeight="false" hidden="false" ht="12.1" outlineLevel="0" r="877">
      <c r="A877" s="13" t="n">
        <v>45763.451041667</v>
      </c>
      <c r="B877" s="6" t="n">
        <v>18.84</v>
      </c>
      <c r="C877" s="6" t="n">
        <v>18.84</v>
      </c>
      <c r="D877" s="16" t="s">
        <v>726</v>
      </c>
      <c r="E877" s="16"/>
      <c r="F877" s="16"/>
      <c r="G877" s="6" t="s">
        <f>=A877-A876</f>
      </c>
      <c r="H877" s="6" t="s">
        <f>=B877+H876</f>
      </c>
      <c r="I877" s="6" t="s">
        <f>=G877*H876</f>
      </c>
    </row>
    <row collapsed="false" customFormat="false" customHeight="false" hidden="false" ht="12.1" outlineLevel="0" r="878">
      <c r="A878" s="13" t="n">
        <v>45763.500266204</v>
      </c>
      <c r="B878" s="6" t="n">
        <v>24.93</v>
      </c>
      <c r="C878" s="6" t="n">
        <v>24.93</v>
      </c>
      <c r="D878" s="16" t="s">
        <v>727</v>
      </c>
      <c r="E878" s="16"/>
      <c r="F878" s="16"/>
      <c r="G878" s="6" t="s">
        <f>=A878-A877</f>
      </c>
      <c r="H878" s="6" t="s">
        <f>=B878+H877</f>
      </c>
      <c r="I878" s="6" t="s">
        <f>=G878*H877</f>
      </c>
    </row>
    <row collapsed="false" customFormat="false" customHeight="false" hidden="false" ht="12.1" outlineLevel="0" r="879">
      <c r="A879" s="13" t="n">
        <v>45764.457511574</v>
      </c>
      <c r="B879" s="6" t="n">
        <v>97.23</v>
      </c>
      <c r="C879" s="6" t="n">
        <v>97.23</v>
      </c>
      <c r="D879" s="16" t="s">
        <v>728</v>
      </c>
      <c r="E879" s="16"/>
      <c r="F879" s="16"/>
      <c r="G879" s="6" t="s">
        <f>=A879-A878</f>
      </c>
      <c r="H879" s="6" t="s">
        <f>=B879+H878</f>
      </c>
      <c r="I879" s="6" t="s">
        <f>=G879*H878</f>
      </c>
    </row>
    <row collapsed="false" customFormat="false" customHeight="false" hidden="false" ht="12.1" outlineLevel="0" r="880">
      <c r="A880" s="13" t="n">
        <v>45764.484247685</v>
      </c>
      <c r="B880" s="6" t="n">
        <v>495.95</v>
      </c>
      <c r="C880" s="6" t="n">
        <v>495.95</v>
      </c>
      <c r="D880" s="16" t="s">
        <v>469</v>
      </c>
      <c r="E880" s="16"/>
      <c r="F880" s="16"/>
      <c r="G880" s="6" t="s">
        <f>=A880-A879</f>
      </c>
      <c r="H880" s="6" t="s">
        <f>=B880+H879</f>
      </c>
      <c r="I880" s="6" t="s">
        <f>=G880*H879</f>
      </c>
    </row>
    <row collapsed="false" customFormat="false" customHeight="false" hidden="false" ht="12.1" outlineLevel="0" r="881">
      <c r="A881" s="13" t="n">
        <v>45764.582511574</v>
      </c>
      <c r="B881" s="6" t="n">
        <v>26.18</v>
      </c>
      <c r="C881" s="6" t="n">
        <v>26.18</v>
      </c>
      <c r="D881" s="16" t="s">
        <v>629</v>
      </c>
      <c r="E881" s="16"/>
      <c r="F881" s="16"/>
      <c r="G881" s="6" t="s">
        <f>=A881-A880</f>
      </c>
      <c r="H881" s="6" t="s">
        <f>=B881+H880</f>
      </c>
      <c r="I881" s="6" t="s">
        <f>=G881*H880</f>
      </c>
    </row>
    <row collapsed="false" customFormat="false" customHeight="false" hidden="false" ht="12.1" outlineLevel="0" r="882">
      <c r="A882" s="13" t="n">
        <v>45768</v>
      </c>
      <c r="B882" s="6" t="n">
        <v>-165</v>
      </c>
      <c r="C882" s="6" t="n">
        <v>-165</v>
      </c>
      <c r="D882" s="16" t="s">
        <v>675</v>
      </c>
      <c r="E882" s="16"/>
      <c r="F882" s="16"/>
      <c r="G882" s="6" t="s">
        <f>=A882-A881</f>
      </c>
      <c r="H882" s="6" t="s">
        <f>=B882+H881</f>
      </c>
      <c r="I882" s="6" t="s">
        <f>=G882*H881</f>
      </c>
    </row>
    <row collapsed="false" customFormat="false" customHeight="false" hidden="false" ht="12.1" outlineLevel="0" r="883">
      <c r="A883" s="13" t="n">
        <v>45769</v>
      </c>
      <c r="B883" s="6" t="n">
        <v>-28.62</v>
      </c>
      <c r="C883" s="6" t="n">
        <v>-28.62</v>
      </c>
      <c r="D883" s="16" t="s">
        <v>729</v>
      </c>
      <c r="E883" s="16"/>
      <c r="F883" s="16"/>
      <c r="G883" s="6" t="s">
        <f>=A883-A882</f>
      </c>
      <c r="H883" s="6" t="s">
        <f>=B883+H882</f>
      </c>
      <c r="I883" s="6" t="s">
        <f>=G883*H882</f>
      </c>
    </row>
    <row collapsed="false" customFormat="false" customHeight="false" hidden="false" ht="12.1" outlineLevel="0" r="884">
      <c r="A884" s="13" t="n">
        <v>45770</v>
      </c>
      <c r="B884" s="6" t="n">
        <v>-56.52</v>
      </c>
      <c r="C884" s="6" t="n">
        <v>-56.52</v>
      </c>
      <c r="D884" s="16" t="s">
        <v>730</v>
      </c>
      <c r="E884" s="16"/>
      <c r="F884" s="16"/>
      <c r="G884" s="6" t="s">
        <f>=A884-A883</f>
      </c>
      <c r="H884" s="6" t="s">
        <f>=B884+H883</f>
      </c>
      <c r="I884" s="6" t="s">
        <f>=G884*H883</f>
      </c>
    </row>
    <row collapsed="false" customFormat="false" customHeight="false" hidden="false" ht="12.1" outlineLevel="0" r="885">
      <c r="A885" s="13" t="n">
        <v>45770</v>
      </c>
      <c r="B885" s="6" t="n">
        <v>-11.18</v>
      </c>
      <c r="C885" s="6" t="n">
        <v>-11.18</v>
      </c>
      <c r="D885" s="16" t="s">
        <v>613</v>
      </c>
      <c r="E885" s="16"/>
      <c r="F885" s="16"/>
      <c r="G885" s="6" t="s">
        <f>=A885-A884</f>
      </c>
      <c r="H885" s="6" t="s">
        <f>=B885+H884</f>
      </c>
      <c r="I885" s="6" t="s">
        <f>=G885*H884</f>
      </c>
    </row>
    <row collapsed="false" customFormat="false" customHeight="false" hidden="false" ht="12.1" outlineLevel="0" r="886">
      <c r="A886" s="13" t="n">
        <v>45770.430740741</v>
      </c>
      <c r="B886" s="6" t="n">
        <v>28.62</v>
      </c>
      <c r="C886" s="6" t="n">
        <v>28.62</v>
      </c>
      <c r="D886" s="16" t="s">
        <v>502</v>
      </c>
      <c r="E886" s="16"/>
      <c r="F886" s="16"/>
      <c r="G886" s="6" t="s">
        <f>=A886-A885</f>
      </c>
      <c r="H886" s="6" t="s">
        <f>=B886+H885</f>
      </c>
      <c r="I886" s="6" t="s">
        <f>=G886*H885</f>
      </c>
    </row>
    <row collapsed="false" customFormat="false" customHeight="false" hidden="false" ht="12.1" outlineLevel="0" r="887">
      <c r="A887" s="13" t="n">
        <v>45770.43212963</v>
      </c>
      <c r="B887" s="6" t="n">
        <v>165</v>
      </c>
      <c r="C887" s="6" t="n">
        <v>165</v>
      </c>
      <c r="D887" s="16" t="s">
        <v>678</v>
      </c>
      <c r="E887" s="16"/>
      <c r="F887" s="16"/>
      <c r="G887" s="6" t="s">
        <f>=A887-A886</f>
      </c>
      <c r="H887" s="6" t="s">
        <f>=B887+H886</f>
      </c>
      <c r="I887" s="6" t="s">
        <f>=G887*H886</f>
      </c>
    </row>
    <row collapsed="false" customFormat="false" customHeight="false" hidden="false" ht="12.1" outlineLevel="0" r="888">
      <c r="A888" s="13" t="n">
        <v>45771.417974537</v>
      </c>
      <c r="B888" s="6" t="n">
        <v>56.52</v>
      </c>
      <c r="C888" s="6" t="n">
        <v>56.52</v>
      </c>
      <c r="D888" s="16" t="s">
        <v>473</v>
      </c>
      <c r="E888" s="16"/>
      <c r="F888" s="16"/>
      <c r="G888" s="6" t="s">
        <f>=A888-A887</f>
      </c>
      <c r="H888" s="6" t="s">
        <f>=B888+H887</f>
      </c>
      <c r="I888" s="6" t="s">
        <f>=G888*H887</f>
      </c>
    </row>
    <row collapsed="false" customFormat="false" customHeight="false" hidden="false" ht="12.1" outlineLevel="0" r="889">
      <c r="A889" s="13" t="n">
        <v>45771.432488426</v>
      </c>
      <c r="B889" s="6" t="n">
        <v>11.18</v>
      </c>
      <c r="C889" s="6" t="n">
        <v>11.18</v>
      </c>
      <c r="D889" s="16" t="s">
        <v>616</v>
      </c>
      <c r="E889" s="16"/>
      <c r="F889" s="16"/>
      <c r="G889" s="6" t="s">
        <f>=A889-A888</f>
      </c>
      <c r="H889" s="6" t="s">
        <f>=B889+H888</f>
      </c>
      <c r="I889" s="6" t="s">
        <f>=G889*H888</f>
      </c>
    </row>
    <row collapsed="false" customFormat="false" customHeight="false" hidden="false" ht="12.1" outlineLevel="0" r="890">
      <c r="A890" s="13" t="n">
        <v>45772</v>
      </c>
      <c r="B890" s="6" t="n">
        <v>-36.32</v>
      </c>
      <c r="C890" s="6" t="n">
        <v>-36.32</v>
      </c>
      <c r="D890" s="16" t="s">
        <v>669</v>
      </c>
      <c r="E890" s="16"/>
      <c r="F890" s="16"/>
      <c r="G890" s="6" t="s">
        <f>=A890-A889</f>
      </c>
      <c r="H890" s="6" t="s">
        <f>=B890+H889</f>
      </c>
      <c r="I890" s="6" t="s">
        <f>=G890*H889</f>
      </c>
    </row>
    <row collapsed="false" customFormat="false" customHeight="false" hidden="false" ht="12.1" outlineLevel="0" r="891">
      <c r="A891" s="13" t="n">
        <v>45772</v>
      </c>
      <c r="B891" s="6" t="n">
        <v>-730</v>
      </c>
      <c r="C891" s="6" t="n">
        <v>-730</v>
      </c>
      <c r="D891" s="16" t="s">
        <v>731</v>
      </c>
      <c r="E891" s="16"/>
      <c r="F891" s="16"/>
      <c r="G891" s="6" t="s">
        <f>=A891-A890</f>
      </c>
      <c r="H891" s="6" t="s">
        <f>=B891+H890</f>
      </c>
      <c r="I891" s="6" t="s">
        <f>=G891*H890</f>
      </c>
    </row>
    <row collapsed="false" customFormat="false" customHeight="false" hidden="false" ht="12.1" outlineLevel="0" r="892">
      <c r="A892" s="13" t="n">
        <v>45775</v>
      </c>
      <c r="B892" s="6" t="n">
        <v>-19.17</v>
      </c>
      <c r="C892" s="6" t="n">
        <v>-19.17</v>
      </c>
      <c r="D892" s="16" t="s">
        <v>732</v>
      </c>
      <c r="E892" s="16"/>
      <c r="F892" s="16"/>
      <c r="G892" s="6" t="s">
        <f>=A892-A891</f>
      </c>
      <c r="H892" s="6" t="s">
        <f>=B892+H891</f>
      </c>
      <c r="I892" s="6" t="s">
        <f>=G892*H891</f>
      </c>
    </row>
    <row collapsed="false" customFormat="false" customHeight="false" hidden="false" ht="12.1" outlineLevel="0" r="893">
      <c r="A893" s="13" t="n">
        <v>45775</v>
      </c>
      <c r="B893" s="6" t="n">
        <v>-46.65</v>
      </c>
      <c r="C893" s="6" t="n">
        <v>-46.65</v>
      </c>
      <c r="D893" s="16" t="s">
        <v>733</v>
      </c>
      <c r="E893" s="16"/>
      <c r="F893" s="16"/>
      <c r="G893" s="6" t="s">
        <f>=A893-A892</f>
      </c>
      <c r="H893" s="6" t="s">
        <f>=B893+H892</f>
      </c>
      <c r="I893" s="6" t="s">
        <f>=G893*H892</f>
      </c>
    </row>
    <row collapsed="false" customFormat="false" customHeight="false" hidden="false" ht="12.1" outlineLevel="0" r="894">
      <c r="A894" s="13" t="n">
        <v>45775.485520833</v>
      </c>
      <c r="B894" s="6" t="n">
        <v>36.32</v>
      </c>
      <c r="C894" s="6" t="n">
        <v>36.32</v>
      </c>
      <c r="D894" s="16" t="s">
        <v>590</v>
      </c>
      <c r="E894" s="16"/>
      <c r="F894" s="16"/>
      <c r="G894" s="6" t="s">
        <f>=A894-A893</f>
      </c>
      <c r="H894" s="6" t="s">
        <f>=B894+H893</f>
      </c>
      <c r="I894" s="6" t="s">
        <f>=G894*H893</f>
      </c>
    </row>
    <row collapsed="false" customFormat="false" customHeight="false" hidden="false" ht="12.1" outlineLevel="0" r="895">
      <c r="A895" s="13" t="n">
        <v>45776</v>
      </c>
      <c r="B895" s="6" t="n">
        <v>-28.22</v>
      </c>
      <c r="C895" s="6" t="n">
        <v>-28.22</v>
      </c>
      <c r="D895" s="16" t="s">
        <v>387</v>
      </c>
      <c r="E895" s="16"/>
      <c r="F895" s="16"/>
      <c r="G895" s="6" t="s">
        <f>=A895-A894</f>
      </c>
      <c r="H895" s="6" t="s">
        <f>=B895+H894</f>
      </c>
      <c r="I895" s="6" t="s">
        <f>=G895*H894</f>
      </c>
    </row>
    <row collapsed="false" customFormat="false" customHeight="false" hidden="false" ht="12.1" outlineLevel="0" r="896">
      <c r="A896" s="13" t="n">
        <v>45776</v>
      </c>
      <c r="B896" s="6" t="n">
        <v>-58.34</v>
      </c>
      <c r="C896" s="6" t="n">
        <v>-58.34</v>
      </c>
      <c r="D896" s="16" t="s">
        <v>635</v>
      </c>
      <c r="E896" s="16"/>
      <c r="F896" s="16"/>
      <c r="G896" s="6" t="s">
        <f>=A896-A895</f>
      </c>
      <c r="H896" s="6" t="s">
        <f>=B896+H895</f>
      </c>
      <c r="I896" s="6" t="s">
        <f>=G896*H895</f>
      </c>
    </row>
    <row collapsed="false" customFormat="false" customHeight="false" hidden="false" ht="12.1" outlineLevel="0" r="897">
      <c r="A897" s="13" t="n">
        <v>45776.445740741</v>
      </c>
      <c r="B897" s="6" t="n">
        <v>11600</v>
      </c>
      <c r="C897" s="6" t="n">
        <v>11600</v>
      </c>
      <c r="D897" s="16" t="s">
        <v>350</v>
      </c>
      <c r="E897" s="16"/>
      <c r="F897" s="16"/>
      <c r="G897" s="6" t="s">
        <f>=A897-A896</f>
      </c>
      <c r="H897" s="6" t="s">
        <f>=B897+H896</f>
      </c>
      <c r="I897" s="6" t="s">
        <f>=G897*H896</f>
      </c>
    </row>
    <row collapsed="false" customFormat="false" customHeight="false" hidden="false" ht="12.1" outlineLevel="0" r="898">
      <c r="A898" s="13" t="n">
        <v>45776.506759259</v>
      </c>
      <c r="B898" s="6" t="n">
        <v>19.17</v>
      </c>
      <c r="C898" s="6" t="n">
        <v>19.17</v>
      </c>
      <c r="D898" s="16" t="s">
        <v>520</v>
      </c>
      <c r="E898" s="16"/>
      <c r="F898" s="16"/>
      <c r="G898" s="6" t="s">
        <f>=A898-A897</f>
      </c>
      <c r="H898" s="6" t="s">
        <f>=B898+H897</f>
      </c>
      <c r="I898" s="6" t="s">
        <f>=G898*H897</f>
      </c>
    </row>
    <row collapsed="false" customFormat="false" customHeight="false" hidden="false" ht="12.1" outlineLevel="0" r="899">
      <c r="A899" s="13" t="n">
        <v>45776.529143519</v>
      </c>
      <c r="B899" s="6" t="n">
        <v>730</v>
      </c>
      <c r="C899" s="6" t="n">
        <v>730</v>
      </c>
      <c r="D899" s="16" t="s">
        <v>734</v>
      </c>
      <c r="E899" s="16"/>
      <c r="F899" s="16"/>
      <c r="G899" s="6" t="s">
        <f>=A899-A898</f>
      </c>
      <c r="H899" s="6" t="s">
        <f>=B899+H898</f>
      </c>
      <c r="I899" s="6" t="s">
        <f>=G899*H898</f>
      </c>
    </row>
    <row collapsed="false" customFormat="false" customHeight="false" hidden="false" ht="12.1" outlineLevel="0" r="900">
      <c r="A900" s="13" t="n">
        <v>45777</v>
      </c>
      <c r="B900" s="6" t="n">
        <v>-1000</v>
      </c>
      <c r="C900" s="6" t="n">
        <v>-1000</v>
      </c>
      <c r="D900" s="16" t="s">
        <v>735</v>
      </c>
      <c r="E900" s="16"/>
      <c r="F900" s="16"/>
      <c r="G900" s="6" t="s">
        <f>=A900-A899</f>
      </c>
      <c r="H900" s="6" t="s">
        <f>=B900+H899</f>
      </c>
      <c r="I900" s="6" t="s">
        <f>=G900*H899</f>
      </c>
    </row>
    <row collapsed="false" customFormat="false" customHeight="false" hidden="false" ht="12.1" outlineLevel="0" r="901">
      <c r="A901" s="13" t="n">
        <v>45777</v>
      </c>
      <c r="B901" s="6" t="n">
        <v>-52.59</v>
      </c>
      <c r="C901" s="6" t="n">
        <v>-52.59</v>
      </c>
      <c r="D901" s="16" t="s">
        <v>736</v>
      </c>
      <c r="E901" s="16"/>
      <c r="F901" s="16"/>
      <c r="G901" s="6" t="s">
        <f>=A901-A900</f>
      </c>
      <c r="H901" s="6" t="s">
        <f>=B901+H900</f>
      </c>
      <c r="I901" s="6" t="s">
        <f>=G901*H900</f>
      </c>
    </row>
    <row collapsed="false" customFormat="false" customHeight="false" hidden="false" ht="12.1" outlineLevel="0" r="902">
      <c r="A902" s="13" t="n">
        <v>45777.462719907</v>
      </c>
      <c r="B902" s="6" t="n">
        <v>58.34</v>
      </c>
      <c r="C902" s="6" t="n">
        <v>58.34</v>
      </c>
      <c r="D902" s="16" t="s">
        <v>595</v>
      </c>
      <c r="E902" s="16"/>
      <c r="F902" s="16"/>
      <c r="G902" s="6" t="s">
        <f>=A902-A901</f>
      </c>
      <c r="H902" s="6" t="s">
        <f>=B902+H901</f>
      </c>
      <c r="I902" s="6" t="s">
        <f>=G902*H901</f>
      </c>
    </row>
    <row collapsed="false" customFormat="false" customHeight="false" hidden="false" ht="12.1" outlineLevel="0" r="903">
      <c r="A903" s="13" t="n">
        <v>45777.737280093</v>
      </c>
      <c r="B903" s="6" t="n">
        <v>28.22</v>
      </c>
      <c r="C903" s="6" t="n">
        <v>28.22</v>
      </c>
      <c r="D903" s="16" t="s">
        <v>390</v>
      </c>
      <c r="E903" s="16"/>
      <c r="F903" s="16"/>
      <c r="G903" s="6" t="s">
        <f>=A903-A902</f>
      </c>
      <c r="H903" s="6" t="s">
        <f>=B903+H902</f>
      </c>
      <c r="I903" s="6" t="s">
        <f>=G903*H902</f>
      </c>
    </row>
    <row collapsed="false" customFormat="false" customHeight="false" hidden="false" ht="12.1" outlineLevel="0" r="904">
      <c r="A904" s="13" t="n">
        <v>45778</v>
      </c>
      <c r="B904" s="6" t="n">
        <v>-38.76</v>
      </c>
      <c r="C904" s="6" t="n">
        <v>-38.76</v>
      </c>
      <c r="D904" s="16" t="s">
        <v>737</v>
      </c>
      <c r="E904" s="16"/>
      <c r="F904" s="16"/>
      <c r="G904" s="6" t="s">
        <f>=A904-A903</f>
      </c>
      <c r="H904" s="6" t="s">
        <f>=B904+H903</f>
      </c>
      <c r="I904" s="6" t="s">
        <f>=G904*H903</f>
      </c>
    </row>
    <row collapsed="false" customFormat="false" customHeight="false" hidden="false" ht="12.1" outlineLevel="0" r="905">
      <c r="A905" s="13" t="n">
        <v>45778</v>
      </c>
      <c r="B905" s="6" t="n">
        <v>-42.38</v>
      </c>
      <c r="C905" s="6" t="n">
        <v>-42.38</v>
      </c>
      <c r="D905" s="16" t="s">
        <v>371</v>
      </c>
      <c r="E905" s="16"/>
      <c r="F905" s="16"/>
      <c r="G905" s="6" t="s">
        <f>=A905-A904</f>
      </c>
      <c r="H905" s="6" t="s">
        <f>=B905+H904</f>
      </c>
      <c r="I905" s="6" t="s">
        <f>=G905*H904</f>
      </c>
    </row>
    <row collapsed="false" customFormat="false" customHeight="false" hidden="false" ht="12.1" outlineLevel="0" r="906">
      <c r="A906" s="13" t="n">
        <v>45779</v>
      </c>
      <c r="B906" s="6" t="n">
        <v>-59.19</v>
      </c>
      <c r="C906" s="6" t="n">
        <v>-59.19</v>
      </c>
      <c r="D906" s="16" t="s">
        <v>738</v>
      </c>
      <c r="E906" s="16"/>
      <c r="F906" s="16"/>
      <c r="G906" s="6" t="s">
        <f>=A906-A905</f>
      </c>
      <c r="H906" s="6" t="s">
        <f>=B906+H905</f>
      </c>
      <c r="I906" s="6" t="s">
        <f>=G906*H905</f>
      </c>
    </row>
    <row collapsed="false" customFormat="false" customHeight="false" hidden="false" ht="12.1" outlineLevel="0" r="907">
      <c r="A907" s="13" t="n">
        <v>45779</v>
      </c>
      <c r="B907" s="6" t="n">
        <v>-23.86</v>
      </c>
      <c r="C907" s="6" t="n">
        <v>-23.86</v>
      </c>
      <c r="D907" s="16" t="s">
        <v>637</v>
      </c>
      <c r="E907" s="16"/>
      <c r="F907" s="16"/>
      <c r="G907" s="6" t="s">
        <f>=A907-A906</f>
      </c>
      <c r="H907" s="6" t="s">
        <f>=B907+H906</f>
      </c>
      <c r="I907" s="6" t="s">
        <f>=G907*H906</f>
      </c>
    </row>
    <row collapsed="false" customFormat="false" customHeight="false" hidden="false" ht="12.1" outlineLevel="0" r="908">
      <c r="A908" s="13" t="n">
        <v>45782</v>
      </c>
      <c r="B908" s="6" t="n">
        <v>-297.2</v>
      </c>
      <c r="C908" s="6" t="n">
        <v>-297.2</v>
      </c>
      <c r="D908" s="16" t="s">
        <v>739</v>
      </c>
      <c r="E908" s="16"/>
      <c r="F908" s="16"/>
      <c r="G908" s="6" t="s">
        <f>=A908-A907</f>
      </c>
      <c r="H908" s="6" t="s">
        <f>=B908+H907</f>
      </c>
      <c r="I908" s="6" t="s">
        <f>=G908*H907</f>
      </c>
    </row>
    <row collapsed="false" customFormat="false" customHeight="false" hidden="false" ht="12.1" outlineLevel="0" r="909">
      <c r="A909" s="13" t="n">
        <v>45782.473877315</v>
      </c>
      <c r="B909" s="6" t="n">
        <v>52.59</v>
      </c>
      <c r="C909" s="6" t="n">
        <v>52.59</v>
      </c>
      <c r="D909" s="16" t="s">
        <v>475</v>
      </c>
      <c r="E909" s="16"/>
      <c r="F909" s="16"/>
      <c r="G909" s="6" t="s">
        <f>=A909-A908</f>
      </c>
      <c r="H909" s="6" t="s">
        <f>=B909+H908</f>
      </c>
      <c r="I909" s="6" t="s">
        <f>=G909*H908</f>
      </c>
    </row>
    <row collapsed="false" customFormat="false" customHeight="false" hidden="false" ht="12.1" outlineLevel="0" r="910">
      <c r="A910" s="13" t="n">
        <v>45782.723854167</v>
      </c>
      <c r="B910" s="6" t="n">
        <v>42.38</v>
      </c>
      <c r="C910" s="6" t="n">
        <v>42.38</v>
      </c>
      <c r="D910" s="16" t="s">
        <v>372</v>
      </c>
      <c r="E910" s="16"/>
      <c r="F910" s="16"/>
      <c r="G910" s="6" t="s">
        <f>=A910-A909</f>
      </c>
      <c r="H910" s="6" t="s">
        <f>=B910+H909</f>
      </c>
      <c r="I910" s="6" t="s">
        <f>=G910*H909</f>
      </c>
    </row>
    <row collapsed="false" customFormat="false" customHeight="false" hidden="false" ht="12.1" outlineLevel="0" r="911">
      <c r="A911" s="13" t="n">
        <v>45782.739201389</v>
      </c>
      <c r="B911" s="6" t="n">
        <v>1000</v>
      </c>
      <c r="C911" s="6" t="n">
        <v>1000</v>
      </c>
      <c r="D911" s="16" t="s">
        <v>740</v>
      </c>
      <c r="E911" s="16"/>
      <c r="F911" s="16"/>
      <c r="G911" s="6" t="s">
        <f>=A911-A910</f>
      </c>
      <c r="H911" s="6" t="s">
        <f>=B911+H910</f>
      </c>
      <c r="I911" s="6" t="s">
        <f>=G911*H910</f>
      </c>
    </row>
    <row collapsed="false" customFormat="false" customHeight="false" hidden="false" ht="12.1" outlineLevel="0" r="912">
      <c r="A912" s="13" t="n">
        <v>45782.838171296</v>
      </c>
      <c r="B912" s="6" t="n">
        <v>59.19</v>
      </c>
      <c r="C912" s="6" t="n">
        <v>59.19</v>
      </c>
      <c r="D912" s="16" t="s">
        <v>741</v>
      </c>
      <c r="E912" s="16"/>
      <c r="F912" s="16"/>
      <c r="G912" s="6" t="s">
        <f>=A912-A911</f>
      </c>
      <c r="H912" s="6" t="s">
        <f>=B912+H911</f>
      </c>
      <c r="I912" s="6" t="s">
        <f>=G912*H911</f>
      </c>
    </row>
    <row collapsed="false" customFormat="false" customHeight="false" hidden="false" ht="12.1" outlineLevel="0" r="913">
      <c r="A913" s="13" t="n">
        <v>45782.840949074</v>
      </c>
      <c r="B913" s="6" t="n">
        <v>38.76</v>
      </c>
      <c r="C913" s="6" t="n">
        <v>38.76</v>
      </c>
      <c r="D913" s="16" t="s">
        <v>454</v>
      </c>
      <c r="E913" s="16"/>
      <c r="F913" s="16"/>
      <c r="G913" s="6" t="s">
        <f>=A913-A912</f>
      </c>
      <c r="H913" s="6" t="s">
        <f>=B913+H912</f>
      </c>
      <c r="I913" s="6" t="s">
        <f>=G913*H912</f>
      </c>
    </row>
    <row collapsed="false" customFormat="false" customHeight="false" hidden="false" ht="12.1" outlineLevel="0" r="914">
      <c r="A914" s="13" t="n">
        <v>45783.481261574</v>
      </c>
      <c r="B914" s="6" t="n">
        <v>23.86</v>
      </c>
      <c r="C914" s="6" t="n">
        <v>23.86</v>
      </c>
      <c r="D914" s="16" t="s">
        <v>638</v>
      </c>
      <c r="E914" s="16"/>
      <c r="F914" s="16"/>
      <c r="G914" s="6" t="s">
        <f>=A914-A913</f>
      </c>
      <c r="H914" s="6" t="s">
        <f>=B914+H913</f>
      </c>
      <c r="I914" s="6" t="s">
        <f>=G914*H913</f>
      </c>
    </row>
    <row collapsed="false" customFormat="false" customHeight="false" hidden="false" ht="12.1" outlineLevel="0" r="915">
      <c r="A915" s="13" t="n">
        <v>45784</v>
      </c>
      <c r="B915" s="6" t="n">
        <v>-19.24</v>
      </c>
      <c r="C915" s="6" t="n">
        <v>-19.24</v>
      </c>
      <c r="D915" s="16" t="s">
        <v>742</v>
      </c>
      <c r="E915" s="16"/>
      <c r="F915" s="16"/>
      <c r="G915" s="6" t="s">
        <f>=A915-A914</f>
      </c>
      <c r="H915" s="6" t="s">
        <f>=B915+H914</f>
      </c>
      <c r="I915" s="6" t="s">
        <f>=G915*H914</f>
      </c>
    </row>
    <row collapsed="false" customFormat="false" customHeight="false" hidden="false" ht="12.1" outlineLevel="0" r="916">
      <c r="A916" s="13" t="n">
        <v>45785</v>
      </c>
      <c r="B916" s="6" t="n">
        <v>-19.11</v>
      </c>
      <c r="C916" s="6" t="n">
        <v>-19.11</v>
      </c>
      <c r="D916" s="16" t="s">
        <v>743</v>
      </c>
      <c r="E916" s="16"/>
      <c r="F916" s="16"/>
      <c r="G916" s="6" t="s">
        <f>=A916-A915</f>
      </c>
      <c r="H916" s="6" t="s">
        <f>=B916+H915</f>
      </c>
      <c r="I916" s="6" t="s">
        <f>=G916*H915</f>
      </c>
    </row>
    <row collapsed="false" customFormat="false" customHeight="false" hidden="false" ht="12.1" outlineLevel="0" r="917">
      <c r="A917" s="13" t="n">
        <v>45786</v>
      </c>
      <c r="B917" s="6" t="n">
        <v>-90.76</v>
      </c>
      <c r="C917" s="6" t="n">
        <v>-90.76</v>
      </c>
      <c r="D917" s="16" t="s">
        <v>744</v>
      </c>
      <c r="E917" s="16"/>
      <c r="F917" s="16"/>
      <c r="G917" s="6" t="s">
        <f>=A917-A916</f>
      </c>
      <c r="H917" s="6" t="s">
        <f>=B917+H916</f>
      </c>
      <c r="I917" s="6" t="s">
        <f>=G917*H916</f>
      </c>
    </row>
    <row collapsed="false" customFormat="false" customHeight="false" hidden="false" ht="12.1" outlineLevel="0" r="918">
      <c r="A918" s="13" t="n">
        <v>45789.499814815</v>
      </c>
      <c r="B918" s="6" t="n">
        <v>19.24</v>
      </c>
      <c r="C918" s="6" t="n">
        <v>19.24</v>
      </c>
      <c r="D918" s="16" t="s">
        <v>745</v>
      </c>
      <c r="E918" s="16"/>
      <c r="F918" s="16"/>
      <c r="G918" s="6" t="s">
        <f>=A918-A917</f>
      </c>
      <c r="H918" s="6" t="s">
        <f>=B918+H917</f>
      </c>
      <c r="I918" s="6" t="s">
        <f>=G918*H917</f>
      </c>
    </row>
    <row collapsed="false" customFormat="false" customHeight="false" hidden="false" ht="12.1" outlineLevel="0" r="919">
      <c r="A919" s="13" t="n">
        <v>45790.559664352</v>
      </c>
      <c r="B919" s="6" t="n">
        <v>297.2</v>
      </c>
      <c r="C919" s="6" t="n">
        <v>297.2</v>
      </c>
      <c r="D919" s="16" t="s">
        <v>746</v>
      </c>
      <c r="E919" s="16"/>
      <c r="F919" s="16"/>
      <c r="G919" s="6" t="s">
        <f>=A919-A918</f>
      </c>
      <c r="H919" s="6" t="s">
        <f>=B919+H918</f>
      </c>
      <c r="I919" s="6" t="s">
        <f>=G919*H918</f>
      </c>
    </row>
    <row collapsed="false" customFormat="false" customHeight="false" hidden="false" ht="12.1" outlineLevel="0" r="920">
      <c r="A920" s="13" t="n">
        <v>45790.647256944</v>
      </c>
      <c r="B920" s="6" t="n">
        <v>90.76</v>
      </c>
      <c r="C920" s="6" t="n">
        <v>90.76</v>
      </c>
      <c r="D920" s="16" t="s">
        <v>747</v>
      </c>
      <c r="E920" s="16"/>
      <c r="F920" s="16"/>
      <c r="G920" s="6" t="s">
        <f>=A920-A919</f>
      </c>
      <c r="H920" s="6" t="s">
        <f>=B920+H919</f>
      </c>
      <c r="I920" s="6" t="s">
        <f>=G920*H919</f>
      </c>
    </row>
    <row collapsed="false" customFormat="false" customHeight="false" hidden="false" ht="12.1" outlineLevel="0" r="921">
      <c r="A921" s="13" t="n">
        <v>45790.675393519</v>
      </c>
      <c r="B921" s="6" t="n">
        <v>19.11</v>
      </c>
      <c r="C921" s="6" t="n">
        <v>19.11</v>
      </c>
      <c r="D921" s="16" t="s">
        <v>748</v>
      </c>
      <c r="E921" s="16"/>
      <c r="F921" s="16"/>
      <c r="G921" s="6" t="s">
        <f>=A921-A920</f>
      </c>
      <c r="H921" s="6" t="s">
        <f>=B921+H920</f>
      </c>
      <c r="I921" s="6" t="s">
        <f>=G921*H920</f>
      </c>
    </row>
    <row collapsed="false" customFormat="false" customHeight="false" hidden="false" ht="12.1" outlineLevel="0" r="922">
      <c r="A922" s="13" t="n">
        <v>45791</v>
      </c>
      <c r="B922" s="6" t="n">
        <v>-1033.89</v>
      </c>
      <c r="C922" s="6" t="n">
        <v>-1033.89</v>
      </c>
      <c r="D922" s="16" t="s">
        <v>749</v>
      </c>
      <c r="E922" s="16"/>
      <c r="F922" s="16"/>
      <c r="G922" s="6" t="s">
        <f>=A922-A921</f>
      </c>
      <c r="H922" s="6" t="s">
        <f>=B922+H921</f>
      </c>
      <c r="I922" s="6" t="s">
        <f>=G922*H921</f>
      </c>
    </row>
    <row collapsed="false" customFormat="false" customHeight="false" hidden="false" ht="12.1" outlineLevel="0" r="923">
      <c r="A923" s="13" t="n">
        <v>45791</v>
      </c>
      <c r="B923" s="6" t="n">
        <v>-4.67</v>
      </c>
      <c r="C923" s="6" t="n">
        <v>-4.67</v>
      </c>
      <c r="D923" s="16" t="s">
        <v>542</v>
      </c>
      <c r="E923" s="16"/>
      <c r="F923" s="16"/>
      <c r="G923" s="6" t="s">
        <f>=A923-A922</f>
      </c>
      <c r="H923" s="6" t="s">
        <f>=B923+H922</f>
      </c>
      <c r="I923" s="6" t="s">
        <f>=G923*H922</f>
      </c>
    </row>
    <row collapsed="false" customFormat="false" customHeight="false" hidden="false" ht="12.1" outlineLevel="0" r="924">
      <c r="A924" s="13" t="n">
        <v>45792.482314815</v>
      </c>
      <c r="B924" s="6" t="n">
        <v>4.67</v>
      </c>
      <c r="C924" s="6" t="n">
        <v>4.67</v>
      </c>
      <c r="D924" s="16" t="s">
        <v>543</v>
      </c>
      <c r="E924" s="16"/>
      <c r="F924" s="16"/>
      <c r="G924" s="6" t="s">
        <f>=A924-A923</f>
      </c>
      <c r="H924" s="6" t="s">
        <f>=B924+H923</f>
      </c>
      <c r="I924" s="6" t="s">
        <f>=G924*H923</f>
      </c>
    </row>
    <row collapsed="false" customFormat="false" customHeight="false" hidden="false" ht="12.1" outlineLevel="0" r="925">
      <c r="A925" s="13" t="n">
        <v>45792.495636574</v>
      </c>
      <c r="B925" s="6" t="n">
        <v>1033.89</v>
      </c>
      <c r="C925" s="6" t="n">
        <v>1033.89</v>
      </c>
      <c r="D925" s="16" t="s">
        <v>374</v>
      </c>
      <c r="E925" s="16"/>
      <c r="F925" s="16"/>
      <c r="G925" s="6" t="s">
        <f>=A925-A924</f>
      </c>
      <c r="H925" s="6" t="s">
        <f>=B925+H924</f>
      </c>
      <c r="I925" s="6" t="s">
        <f>=G925*H924</f>
      </c>
    </row>
    <row collapsed="false" customFormat="false" customHeight="false" hidden="false" ht="12.1" outlineLevel="0" r="926">
      <c r="A926" s="13" t="n">
        <v>45793</v>
      </c>
      <c r="B926" s="6" t="n">
        <v>-192</v>
      </c>
      <c r="C926" s="6" t="n">
        <v>-192</v>
      </c>
      <c r="D926" s="16" t="s">
        <v>750</v>
      </c>
      <c r="E926" s="16"/>
      <c r="F926" s="16"/>
      <c r="G926" s="6" t="s">
        <f>=A926-A925</f>
      </c>
      <c r="H926" s="6" t="s">
        <f>=B926+H925</f>
      </c>
      <c r="I926" s="6" t="s">
        <f>=G926*H925</f>
      </c>
    </row>
    <row collapsed="false" customFormat="false" customHeight="false" hidden="false" ht="12.1" outlineLevel="0" r="927">
      <c r="A927" s="13" t="n">
        <v>45793</v>
      </c>
      <c r="B927" s="6" t="n">
        <v>-19.21</v>
      </c>
      <c r="C927" s="6" t="n">
        <v>-19.21</v>
      </c>
      <c r="D927" s="16" t="s">
        <v>751</v>
      </c>
      <c r="E927" s="16"/>
      <c r="F927" s="16"/>
      <c r="G927" s="6" t="s">
        <f>=A927-A926</f>
      </c>
      <c r="H927" s="6" t="s">
        <f>=B927+H926</f>
      </c>
      <c r="I927" s="6" t="s">
        <f>=G927*H926</f>
      </c>
    </row>
    <row collapsed="false" customFormat="false" customHeight="false" hidden="false" ht="12.1" outlineLevel="0" r="928">
      <c r="A928" s="13" t="n">
        <v>45795</v>
      </c>
      <c r="B928" s="6" t="n">
        <v>-400</v>
      </c>
      <c r="C928" s="6" t="n">
        <v>-400</v>
      </c>
      <c r="D928" s="16" t="s">
        <v>600</v>
      </c>
      <c r="E928" s="16"/>
      <c r="F928" s="16"/>
      <c r="G928" s="6" t="s">
        <f>=A928-A927</f>
      </c>
      <c r="H928" s="6" t="s">
        <f>=B928+H927</f>
      </c>
      <c r="I928" s="6" t="s">
        <f>=G928*H927</f>
      </c>
    </row>
    <row collapsed="false" customFormat="false" customHeight="false" hidden="false" ht="12.1" outlineLevel="0" r="929">
      <c r="A929" s="13" t="n">
        <v>45796</v>
      </c>
      <c r="B929" s="6" t="n">
        <v>-12.96</v>
      </c>
      <c r="C929" s="6" t="n">
        <v>-12.96</v>
      </c>
      <c r="D929" s="16" t="s">
        <v>752</v>
      </c>
      <c r="E929" s="16"/>
      <c r="F929" s="16"/>
      <c r="G929" s="6" t="s">
        <f>=A929-A928</f>
      </c>
      <c r="H929" s="6" t="s">
        <f>=B929+H928</f>
      </c>
      <c r="I929" s="6" t="s">
        <f>=G929*H928</f>
      </c>
    </row>
    <row collapsed="false" customFormat="false" customHeight="false" hidden="false" ht="12.1" outlineLevel="0" r="930">
      <c r="A930" s="13" t="n">
        <v>45796.498935185</v>
      </c>
      <c r="B930" s="6" t="n">
        <v>19.21</v>
      </c>
      <c r="C930" s="6" t="n">
        <v>19.21</v>
      </c>
      <c r="D930" s="16" t="s">
        <v>726</v>
      </c>
      <c r="E930" s="16"/>
      <c r="F930" s="16"/>
      <c r="G930" s="6" t="s">
        <f>=A930-A929</f>
      </c>
      <c r="H930" s="6" t="s">
        <f>=B930+H929</f>
      </c>
      <c r="I930" s="6" t="s">
        <f>=G930*H929</f>
      </c>
    </row>
    <row collapsed="false" customFormat="false" customHeight="false" hidden="false" ht="12.1" outlineLevel="0" r="931">
      <c r="A931" s="13" t="n">
        <v>45796.626712963</v>
      </c>
      <c r="B931" s="6" t="n">
        <v>46.65</v>
      </c>
      <c r="C931" s="6" t="n">
        <v>46.65</v>
      </c>
      <c r="D931" s="16" t="s">
        <v>532</v>
      </c>
      <c r="E931" s="16"/>
      <c r="F931" s="16"/>
      <c r="G931" s="6" t="s">
        <f>=A931-A930</f>
      </c>
      <c r="H931" s="6" t="s">
        <f>=B931+H930</f>
      </c>
      <c r="I931" s="6" t="s">
        <f>=G931*H930</f>
      </c>
    </row>
    <row collapsed="false" customFormat="false" customHeight="false" hidden="false" ht="12.1" outlineLevel="0" r="932">
      <c r="A932" s="13" t="n">
        <v>45797.538773148</v>
      </c>
      <c r="B932" s="6" t="n">
        <v>12.96</v>
      </c>
      <c r="C932" s="6" t="n">
        <v>12.96</v>
      </c>
      <c r="D932" s="16" t="s">
        <v>417</v>
      </c>
      <c r="E932" s="16"/>
      <c r="F932" s="16"/>
      <c r="G932" s="6" t="s">
        <f>=A932-A931</f>
      </c>
      <c r="H932" s="6" t="s">
        <f>=B932+H931</f>
      </c>
      <c r="I932" s="6" t="s">
        <f>=G932*H931</f>
      </c>
    </row>
    <row collapsed="false" customFormat="false" customHeight="false" hidden="false" ht="12.1" outlineLevel="0" r="933">
      <c r="A933" s="13" t="n">
        <v>45797.540092593</v>
      </c>
      <c r="B933" s="6" t="n">
        <v>400</v>
      </c>
      <c r="C933" s="6" t="n">
        <v>400</v>
      </c>
      <c r="D933" s="16" t="s">
        <v>753</v>
      </c>
      <c r="E933" s="16"/>
      <c r="F933" s="16"/>
      <c r="G933" s="6" t="s">
        <f>=A933-A932</f>
      </c>
      <c r="H933" s="6" t="s">
        <f>=B933+H932</f>
      </c>
      <c r="I933" s="6" t="s">
        <f>=G933*H932</f>
      </c>
    </row>
    <row collapsed="false" customFormat="false" customHeight="false" hidden="false" ht="12.1" outlineLevel="0" r="934">
      <c r="A934" s="13" t="n">
        <v>45798</v>
      </c>
      <c r="B934" s="6" t="n">
        <v>-89.94</v>
      </c>
      <c r="C934" s="6" t="n">
        <v>-89.94</v>
      </c>
      <c r="D934" s="16" t="s">
        <v>754</v>
      </c>
      <c r="E934" s="16"/>
      <c r="F934" s="16"/>
      <c r="G934" s="6" t="s">
        <f>=A934-A933</f>
      </c>
      <c r="H934" s="6" t="s">
        <f>=B934+H933</f>
      </c>
      <c r="I934" s="6" t="s">
        <f>=G934*H933</f>
      </c>
    </row>
    <row collapsed="false" customFormat="false" customHeight="false" hidden="false" ht="12.1" outlineLevel="0" r="935">
      <c r="A935" s="13" t="n">
        <v>45798</v>
      </c>
      <c r="B935" s="6" t="n">
        <v>-361.5</v>
      </c>
      <c r="C935" s="6" t="n">
        <v>-361.5</v>
      </c>
      <c r="D935" s="16" t="s">
        <v>755</v>
      </c>
      <c r="E935" s="16"/>
      <c r="F935" s="16"/>
      <c r="G935" s="6" t="s">
        <f>=A935-A934</f>
      </c>
      <c r="H935" s="6" t="s">
        <f>=B935+H934</f>
      </c>
      <c r="I935" s="6" t="s">
        <f>=G935*H934</f>
      </c>
    </row>
    <row collapsed="false" customFormat="false" customHeight="false" hidden="false" ht="12.1" outlineLevel="0" r="936">
      <c r="A936" s="13" t="n">
        <v>45799</v>
      </c>
      <c r="B936" s="6" t="n">
        <v>-6.5</v>
      </c>
      <c r="C936" s="6" t="n">
        <v>-6.5</v>
      </c>
      <c r="D936" s="16" t="s">
        <v>756</v>
      </c>
      <c r="E936" s="16"/>
      <c r="F936" s="16"/>
      <c r="G936" s="6" t="s">
        <f>=A936-A935</f>
      </c>
      <c r="H936" s="6" t="s">
        <f>=B936+H935</f>
      </c>
      <c r="I936" s="6" t="s">
        <f>=G936*H935</f>
      </c>
    </row>
    <row collapsed="false" customFormat="false" customHeight="false" hidden="false" ht="12.1" outlineLevel="0" r="937">
      <c r="A937" s="13" t="n">
        <v>45799</v>
      </c>
      <c r="B937" s="6" t="n">
        <v>-20.96</v>
      </c>
      <c r="C937" s="6" t="n">
        <v>-20.96</v>
      </c>
      <c r="D937" s="16" t="s">
        <v>757</v>
      </c>
      <c r="E937" s="16"/>
      <c r="F937" s="16"/>
      <c r="G937" s="6" t="s">
        <f>=A937-A936</f>
      </c>
      <c r="H937" s="6" t="s">
        <f>=B937+H936</f>
      </c>
      <c r="I937" s="6" t="s">
        <f>=G937*H936</f>
      </c>
    </row>
    <row collapsed="false" customFormat="false" customHeight="false" hidden="false" ht="12.1" outlineLevel="0" r="938">
      <c r="A938" s="13" t="n">
        <v>45799</v>
      </c>
      <c r="B938" s="6" t="n">
        <v>192</v>
      </c>
      <c r="C938" s="6" t="n">
        <v>192</v>
      </c>
      <c r="D938" s="16" t="s">
        <v>758</v>
      </c>
      <c r="E938" s="16"/>
      <c r="F938" s="16"/>
      <c r="G938" s="6" t="s">
        <f>=A938-A937</f>
      </c>
      <c r="H938" s="6" t="s">
        <f>=B938+H937</f>
      </c>
      <c r="I938" s="6" t="s">
        <f>=G938*H937</f>
      </c>
    </row>
    <row collapsed="false" customFormat="false" customHeight="false" hidden="false" ht="12.1" outlineLevel="0" r="939">
      <c r="A939" s="13" t="n">
        <v>45799.507858796</v>
      </c>
      <c r="B939" s="6" t="n">
        <v>89.94</v>
      </c>
      <c r="C939" s="6" t="n">
        <v>89.94</v>
      </c>
      <c r="D939" s="16" t="s">
        <v>480</v>
      </c>
      <c r="E939" s="16"/>
      <c r="F939" s="16"/>
      <c r="G939" s="6" t="s">
        <f>=A939-A938</f>
      </c>
      <c r="H939" s="6" t="s">
        <f>=B939+H938</f>
      </c>
      <c r="I939" s="6" t="s">
        <f>=G939*H938</f>
      </c>
    </row>
    <row collapsed="false" customFormat="false" customHeight="false" hidden="false" ht="12.1" outlineLevel="0" r="940">
      <c r="A940" s="13" t="n">
        <v>45799.572280093</v>
      </c>
      <c r="B940" s="6" t="n">
        <v>361.5</v>
      </c>
      <c r="C940" s="6" t="n">
        <v>361.5</v>
      </c>
      <c r="D940" s="16" t="s">
        <v>378</v>
      </c>
      <c r="E940" s="16"/>
      <c r="F940" s="16"/>
      <c r="G940" s="6" t="s">
        <f>=A940-A939</f>
      </c>
      <c r="H940" s="6" t="s">
        <f>=B940+H939</f>
      </c>
      <c r="I940" s="6" t="s">
        <f>=G940*H939</f>
      </c>
    </row>
    <row collapsed="false" customFormat="false" customHeight="false" hidden="false" ht="12.1" outlineLevel="0" r="941">
      <c r="A941" s="13" t="n">
        <v>45800</v>
      </c>
      <c r="B941" s="6" t="n">
        <v>-11.18</v>
      </c>
      <c r="C941" s="6" t="n">
        <v>-11.18</v>
      </c>
      <c r="D941" s="16" t="s">
        <v>613</v>
      </c>
      <c r="E941" s="16"/>
      <c r="F941" s="16"/>
      <c r="G941" s="6" t="s">
        <f>=A941-A940</f>
      </c>
      <c r="H941" s="6" t="s">
        <f>=B941+H940</f>
      </c>
      <c r="I941" s="6" t="s">
        <f>=G941*H940</f>
      </c>
    </row>
    <row collapsed="false" customFormat="false" customHeight="false" hidden="false" ht="12.1" outlineLevel="0" r="942">
      <c r="A942" s="13" t="n">
        <v>45800.468784722</v>
      </c>
      <c r="B942" s="6" t="n">
        <v>6.5</v>
      </c>
      <c r="C942" s="6" t="n">
        <v>6.5</v>
      </c>
      <c r="D942" s="16" t="s">
        <v>422</v>
      </c>
      <c r="E942" s="16"/>
      <c r="F942" s="16"/>
      <c r="G942" s="6" t="s">
        <f>=A942-A941</f>
      </c>
      <c r="H942" s="6" t="s">
        <f>=B942+H941</f>
      </c>
      <c r="I942" s="6" t="s">
        <f>=G942*H941</f>
      </c>
    </row>
    <row collapsed="false" customFormat="false" customHeight="false" hidden="false" ht="12.1" outlineLevel="0" r="943">
      <c r="A943" s="13" t="n">
        <v>45800.47349537</v>
      </c>
      <c r="B943" s="6" t="n">
        <v>20.96</v>
      </c>
      <c r="C943" s="6" t="n">
        <v>20.96</v>
      </c>
      <c r="D943" s="16" t="s">
        <v>759</v>
      </c>
      <c r="E943" s="16"/>
      <c r="F943" s="16"/>
      <c r="G943" s="6" t="s">
        <f>=A943-A942</f>
      </c>
      <c r="H943" s="6" t="s">
        <f>=B943+H942</f>
      </c>
      <c r="I943" s="6" t="s">
        <f>=G943*H942</f>
      </c>
    </row>
    <row collapsed="false" customFormat="false" customHeight="false" hidden="false" ht="12.1" outlineLevel="0" r="944">
      <c r="A944" s="13" t="n">
        <v>45802</v>
      </c>
      <c r="B944" s="6" t="n">
        <v>-36.32</v>
      </c>
      <c r="C944" s="6" t="n">
        <v>-36.32</v>
      </c>
      <c r="D944" s="16" t="s">
        <v>669</v>
      </c>
      <c r="E944" s="16"/>
      <c r="F944" s="16"/>
      <c r="G944" s="6" t="s">
        <f>=A944-A943</f>
      </c>
      <c r="H944" s="6" t="s">
        <f>=B944+H943</f>
      </c>
      <c r="I944" s="6" t="s">
        <f>=G944*H943</f>
      </c>
    </row>
    <row collapsed="false" customFormat="false" customHeight="false" hidden="false" ht="12.1" outlineLevel="0" r="945">
      <c r="A945" s="13" t="n">
        <v>45803.457326389</v>
      </c>
      <c r="B945" s="6" t="n">
        <v>11.18</v>
      </c>
      <c r="C945" s="6" t="n">
        <v>11.18</v>
      </c>
      <c r="D945" s="16" t="s">
        <v>616</v>
      </c>
      <c r="E945" s="16"/>
      <c r="F945" s="16"/>
      <c r="G945" s="6" t="s">
        <f>=A945-A944</f>
      </c>
      <c r="H945" s="6" t="s">
        <f>=B945+H944</f>
      </c>
      <c r="I945" s="6" t="s">
        <f>=G945*H944</f>
      </c>
    </row>
    <row collapsed="false" customFormat="false" customHeight="false" hidden="false" ht="12.1" outlineLevel="0" r="946">
      <c r="A946" s="13" t="n">
        <v>45804</v>
      </c>
      <c r="B946" s="6" t="n">
        <v>-74.79</v>
      </c>
      <c r="C946" s="6" t="n">
        <v>-74.79</v>
      </c>
      <c r="D946" s="16" t="s">
        <v>696</v>
      </c>
      <c r="E946" s="16"/>
      <c r="F946" s="16"/>
      <c r="G946" s="6" t="s">
        <f>=A946-A945</f>
      </c>
      <c r="H946" s="6" t="s">
        <f>=B946+H945</f>
      </c>
      <c r="I946" s="6" t="s">
        <f>=G946*H945</f>
      </c>
    </row>
    <row collapsed="false" customFormat="false" customHeight="false" hidden="false" ht="12.1" outlineLevel="0" r="947">
      <c r="A947" s="13" t="n">
        <v>45804.516631944</v>
      </c>
      <c r="B947" s="6" t="n">
        <v>36.32</v>
      </c>
      <c r="C947" s="6" t="n">
        <v>36.32</v>
      </c>
      <c r="D947" s="16" t="s">
        <v>590</v>
      </c>
      <c r="E947" s="16"/>
      <c r="F947" s="16"/>
      <c r="G947" s="6" t="s">
        <f>=A947-A946</f>
      </c>
      <c r="H947" s="6" t="s">
        <f>=B947+H946</f>
      </c>
      <c r="I947" s="6" t="s">
        <f>=G947*H946</f>
      </c>
    </row>
    <row collapsed="false" customFormat="false" customHeight="false" hidden="false" ht="12.1" outlineLevel="0" r="948">
      <c r="A948" s="13" t="n">
        <v>45805</v>
      </c>
      <c r="B948" s="6" t="n">
        <v>-473.7</v>
      </c>
      <c r="C948" s="6" t="n">
        <v>-473.7</v>
      </c>
      <c r="D948" s="16" t="s">
        <v>760</v>
      </c>
      <c r="E948" s="16"/>
      <c r="F948" s="16"/>
      <c r="G948" s="6" t="s">
        <f>=A948-A947</f>
      </c>
      <c r="H948" s="6" t="s">
        <f>=B948+H947</f>
      </c>
      <c r="I948" s="6" t="s">
        <f>=G948*H947</f>
      </c>
    </row>
    <row collapsed="false" customFormat="false" customHeight="false" hidden="false" ht="12.1" outlineLevel="0" r="949">
      <c r="A949" s="13" t="n">
        <v>45805</v>
      </c>
      <c r="B949" s="6" t="n">
        <v>-366.48</v>
      </c>
      <c r="C949" s="6" t="n">
        <v>-366.48</v>
      </c>
      <c r="D949" s="16" t="s">
        <v>761</v>
      </c>
      <c r="E949" s="16"/>
      <c r="F949" s="16"/>
      <c r="G949" s="6" t="s">
        <f>=A949-A948</f>
      </c>
      <c r="H949" s="6" t="s">
        <f>=B949+H948</f>
      </c>
      <c r="I949" s="6" t="s">
        <f>=G949*H948</f>
      </c>
    </row>
    <row collapsed="false" customFormat="false" customHeight="false" hidden="false" ht="12.1" outlineLevel="0" r="950">
      <c r="A950" s="13" t="n">
        <v>45805.476296296</v>
      </c>
      <c r="B950" s="6" t="n">
        <v>74.79</v>
      </c>
      <c r="C950" s="6" t="n">
        <v>74.79</v>
      </c>
      <c r="D950" s="16" t="s">
        <v>649</v>
      </c>
      <c r="E950" s="16"/>
      <c r="F950" s="16"/>
      <c r="G950" s="6" t="s">
        <f>=A950-A949</f>
      </c>
      <c r="H950" s="6" t="s">
        <f>=B950+H949</f>
      </c>
      <c r="I950" s="6" t="s">
        <f>=G950*H949</f>
      </c>
    </row>
    <row collapsed="false" customFormat="false" customHeight="false" hidden="false" ht="12.1" outlineLevel="0" r="951">
      <c r="A951" s="13" t="n">
        <v>45805.780416667</v>
      </c>
      <c r="B951" s="6" t="n">
        <v>473.7</v>
      </c>
      <c r="C951" s="6" t="n">
        <v>473.7</v>
      </c>
      <c r="D951" s="16" t="s">
        <v>552</v>
      </c>
      <c r="E951" s="16"/>
      <c r="F951" s="16"/>
      <c r="G951" s="6" t="s">
        <f>=A951-A950</f>
      </c>
      <c r="H951" s="6" t="s">
        <f>=B951+H950</f>
      </c>
      <c r="I951" s="6" t="s">
        <f>=G951*H950</f>
      </c>
    </row>
    <row collapsed="false" customFormat="false" customHeight="false" hidden="false" ht="12.1" outlineLevel="0" r="952">
      <c r="A952" s="13" t="n">
        <v>45805.903796296</v>
      </c>
      <c r="B952" s="6" t="n">
        <v>366.48</v>
      </c>
      <c r="C952" s="6" t="n">
        <v>366.48</v>
      </c>
      <c r="D952" s="16" t="s">
        <v>650</v>
      </c>
      <c r="E952" s="16"/>
      <c r="F952" s="16"/>
      <c r="G952" s="6" t="s">
        <f>=A952-A951</f>
      </c>
      <c r="H952" s="6" t="s">
        <f>=B952+H951</f>
      </c>
      <c r="I952" s="6" t="s">
        <f>=G952*H951</f>
      </c>
    </row>
    <row collapsed="false" customFormat="false" customHeight="false" hidden="false" ht="12.1" outlineLevel="0" r="953">
      <c r="A953" s="13" t="n">
        <v>45806</v>
      </c>
      <c r="B953" s="6" t="n">
        <v>-19.2</v>
      </c>
      <c r="C953" s="6" t="n">
        <v>-19.2</v>
      </c>
      <c r="D953" s="16" t="s">
        <v>762</v>
      </c>
      <c r="E953" s="16"/>
      <c r="F953" s="16"/>
      <c r="G953" s="6" t="s">
        <f>=A953-A952</f>
      </c>
      <c r="H953" s="6" t="s">
        <f>=B953+H952</f>
      </c>
      <c r="I953" s="6" t="s">
        <f>=G953*H952</f>
      </c>
    </row>
    <row collapsed="false" customFormat="false" customHeight="false" hidden="false" ht="12.1" outlineLevel="0" r="954">
      <c r="A954" s="13" t="n">
        <v>45806</v>
      </c>
      <c r="B954" s="6" t="n">
        <v>-19.48</v>
      </c>
      <c r="C954" s="6" t="n">
        <v>-19.48</v>
      </c>
      <c r="D954" s="16" t="s">
        <v>763</v>
      </c>
      <c r="E954" s="16"/>
      <c r="F954" s="16"/>
      <c r="G954" s="6" t="s">
        <f>=A954-A953</f>
      </c>
      <c r="H954" s="6" t="s">
        <f>=B954+H953</f>
      </c>
      <c r="I954" s="6" t="s">
        <f>=G954*H953</f>
      </c>
    </row>
    <row collapsed="false" customFormat="false" customHeight="false" hidden="false" ht="12.1" outlineLevel="0" r="955">
      <c r="A955" s="13" t="n">
        <v>45807</v>
      </c>
      <c r="B955" s="6" t="n">
        <v>-24.81</v>
      </c>
      <c r="C955" s="6" t="n">
        <v>-24.81</v>
      </c>
      <c r="D955" s="16" t="s">
        <v>379</v>
      </c>
      <c r="E955" s="16"/>
      <c r="F955" s="16"/>
      <c r="G955" s="6" t="s">
        <f>=A955-A954</f>
      </c>
      <c r="H955" s="6" t="s">
        <f>=B955+H954</f>
      </c>
      <c r="I955" s="6" t="s">
        <f>=G955*H954</f>
      </c>
    </row>
    <row collapsed="false" customFormat="false" customHeight="false" hidden="false" ht="12.1" outlineLevel="0" r="956">
      <c r="A956" s="13" t="n">
        <v>45807</v>
      </c>
      <c r="B956" s="6" t="n">
        <v>19.48</v>
      </c>
      <c r="C956" s="6" t="n">
        <v>19.48</v>
      </c>
      <c r="D956" s="16" t="s">
        <v>764</v>
      </c>
      <c r="E956" s="16"/>
      <c r="F956" s="16"/>
      <c r="G956" s="6" t="s">
        <f>=A956-A955</f>
      </c>
      <c r="H956" s="6" t="s">
        <f>=B956+H955</f>
      </c>
      <c r="I956" s="6" t="s">
        <f>=G956*H955</f>
      </c>
    </row>
    <row collapsed="false" customFormat="false" customHeight="false" hidden="false" ht="12.1" outlineLevel="0" r="957">
      <c r="A957" s="13" t="n">
        <v>45807.417175926</v>
      </c>
      <c r="B957" s="6" t="n">
        <v>19.2</v>
      </c>
      <c r="C957" s="6" t="n">
        <v>19.2</v>
      </c>
      <c r="D957" s="16" t="s">
        <v>520</v>
      </c>
      <c r="E957" s="16"/>
      <c r="F957" s="16"/>
      <c r="G957" s="6" t="s">
        <f>=A957-A956</f>
      </c>
      <c r="H957" s="6" t="s">
        <f>=B957+H956</f>
      </c>
      <c r="I957" s="6" t="s">
        <f>=G957*H956</f>
      </c>
    </row>
    <row collapsed="false" customFormat="false" customHeight="false" hidden="false" ht="12.1" outlineLevel="0" r="958">
      <c r="A958" s="13" t="n">
        <v>45809</v>
      </c>
      <c r="B958" s="6" t="n">
        <v>-38.6</v>
      </c>
      <c r="C958" s="6" t="n">
        <v>-38.6</v>
      </c>
      <c r="D958" s="16" t="s">
        <v>765</v>
      </c>
      <c r="E958" s="16"/>
      <c r="F958" s="16"/>
      <c r="G958" s="6" t="s">
        <f>=A958-A957</f>
      </c>
      <c r="H958" s="6" t="s">
        <f>=B958+H957</f>
      </c>
      <c r="I958" s="6" t="s">
        <f>=G958*H957</f>
      </c>
    </row>
    <row collapsed="false" customFormat="false" customHeight="false" hidden="false" ht="12.1" outlineLevel="0" r="959">
      <c r="A959" s="13" t="n">
        <v>45810</v>
      </c>
      <c r="B959" s="6" t="n">
        <v>-25.68</v>
      </c>
      <c r="C959" s="6" t="n">
        <v>-25.68</v>
      </c>
      <c r="D959" s="16" t="s">
        <v>766</v>
      </c>
      <c r="E959" s="16"/>
      <c r="F959" s="16"/>
      <c r="G959" s="6" t="s">
        <f>=A959-A958</f>
      </c>
      <c r="H959" s="6" t="s">
        <f>=B959+H958</f>
      </c>
      <c r="I959" s="6" t="s">
        <f>=G959*H958</f>
      </c>
    </row>
    <row collapsed="false" customFormat="false" customHeight="false" hidden="false" ht="12.1" outlineLevel="0" r="960">
      <c r="A960" s="13" t="n">
        <v>45810</v>
      </c>
      <c r="B960" s="6" t="n">
        <v>-431.1</v>
      </c>
      <c r="C960" s="6" t="n">
        <v>-431.1</v>
      </c>
      <c r="D960" s="16" t="s">
        <v>767</v>
      </c>
      <c r="E960" s="16"/>
      <c r="F960" s="16"/>
      <c r="G960" s="6" t="s">
        <f>=A960-A959</f>
      </c>
      <c r="H960" s="6" t="s">
        <f>=B960+H959</f>
      </c>
      <c r="I960" s="6" t="s">
        <f>=G960*H959</f>
      </c>
    </row>
    <row collapsed="false" customFormat="false" customHeight="false" hidden="false" ht="12.1" outlineLevel="0" r="961">
      <c r="A961" s="13" t="n">
        <v>45810</v>
      </c>
      <c r="B961" s="6" t="n">
        <v>-39.9</v>
      </c>
      <c r="C961" s="6" t="n">
        <v>-39.9</v>
      </c>
      <c r="D961" s="16" t="s">
        <v>603</v>
      </c>
      <c r="E961" s="16"/>
      <c r="F961" s="16"/>
      <c r="G961" s="6" t="s">
        <f>=A961-A960</f>
      </c>
      <c r="H961" s="6" t="s">
        <f>=B961+H960</f>
      </c>
      <c r="I961" s="6" t="s">
        <f>=G961*H960</f>
      </c>
    </row>
    <row collapsed="false" customFormat="false" customHeight="false" hidden="false" ht="12.1" outlineLevel="0" r="962">
      <c r="A962" s="13" t="n">
        <v>45810.462835648</v>
      </c>
      <c r="B962" s="6" t="n">
        <v>24.81</v>
      </c>
      <c r="C962" s="6" t="n">
        <v>24.81</v>
      </c>
      <c r="D962" s="16" t="s">
        <v>380</v>
      </c>
      <c r="E962" s="16"/>
      <c r="F962" s="16"/>
      <c r="G962" s="6" t="s">
        <f>=A962-A961</f>
      </c>
      <c r="H962" s="6" t="s">
        <f>=B962+H961</f>
      </c>
      <c r="I962" s="6" t="s">
        <f>=G962*H961</f>
      </c>
    </row>
    <row collapsed="false" customFormat="false" customHeight="false" hidden="false" ht="12.1" outlineLevel="0" r="963">
      <c r="A963" s="13" t="n">
        <v>45811</v>
      </c>
      <c r="B963" s="6" t="n">
        <v>-56.1</v>
      </c>
      <c r="C963" s="6" t="n">
        <v>-56.1</v>
      </c>
      <c r="D963" s="16" t="s">
        <v>482</v>
      </c>
      <c r="E963" s="16"/>
      <c r="F963" s="16"/>
      <c r="G963" s="6" t="s">
        <f>=A963-A962</f>
      </c>
      <c r="H963" s="6" t="s">
        <f>=B963+H962</f>
      </c>
      <c r="I963" s="6" t="s">
        <f>=G963*H962</f>
      </c>
    </row>
    <row collapsed="false" customFormat="false" customHeight="false" hidden="false" ht="12.1" outlineLevel="0" r="964">
      <c r="A964" s="13" t="n">
        <v>45811</v>
      </c>
      <c r="B964" s="6" t="n">
        <v>-29.17</v>
      </c>
      <c r="C964" s="6" t="n">
        <v>-29.17</v>
      </c>
      <c r="D964" s="16" t="s">
        <v>651</v>
      </c>
      <c r="E964" s="16"/>
      <c r="F964" s="16"/>
      <c r="G964" s="6" t="s">
        <f>=A964-A963</f>
      </c>
      <c r="H964" s="6" t="s">
        <f>=B964+H963</f>
      </c>
      <c r="I964" s="6" t="s">
        <f>=G964*H963</f>
      </c>
    </row>
    <row collapsed="false" customFormat="false" customHeight="false" hidden="false" ht="12.1" outlineLevel="0" r="965">
      <c r="A965" s="13" t="n">
        <v>45811.446296296</v>
      </c>
      <c r="B965" s="6" t="n">
        <v>39.9</v>
      </c>
      <c r="C965" s="6" t="n">
        <v>39.9</v>
      </c>
      <c r="D965" s="16" t="s">
        <v>555</v>
      </c>
      <c r="E965" s="16"/>
      <c r="F965" s="16"/>
      <c r="G965" s="6" t="s">
        <f>=A965-A964</f>
      </c>
      <c r="H965" s="6" t="s">
        <f>=B965+H964</f>
      </c>
      <c r="I965" s="6" t="s">
        <f>=G965*H964</f>
      </c>
    </row>
    <row collapsed="false" customFormat="false" customHeight="false" hidden="false" ht="12.1" outlineLevel="0" r="966">
      <c r="A966" s="13" t="n">
        <v>45811.495763889</v>
      </c>
      <c r="B966" s="6" t="n">
        <v>25.68</v>
      </c>
      <c r="C966" s="6" t="n">
        <v>25.68</v>
      </c>
      <c r="D966" s="16" t="s">
        <v>768</v>
      </c>
      <c r="E966" s="16"/>
      <c r="F966" s="16"/>
      <c r="G966" s="6" t="s">
        <f>=A966-A965</f>
      </c>
      <c r="H966" s="6" t="s">
        <f>=B966+H965</f>
      </c>
      <c r="I966" s="6" t="s">
        <f>=G966*H965</f>
      </c>
    </row>
    <row collapsed="false" customFormat="false" customHeight="false" hidden="false" ht="12.1" outlineLevel="0" r="967">
      <c r="A967" s="13" t="n">
        <v>45811.588530093</v>
      </c>
      <c r="B967" s="6" t="n">
        <v>38.6</v>
      </c>
      <c r="C967" s="6" t="n">
        <v>38.6</v>
      </c>
      <c r="D967" s="16" t="s">
        <v>454</v>
      </c>
      <c r="E967" s="16"/>
      <c r="F967" s="16"/>
      <c r="G967" s="6" t="s">
        <f>=A967-A966</f>
      </c>
      <c r="H967" s="6" t="s">
        <f>=B967+H966</f>
      </c>
      <c r="I967" s="6" t="s">
        <f>=G967*H966</f>
      </c>
    </row>
    <row collapsed="false" customFormat="false" customHeight="false" hidden="false" ht="12.1" outlineLevel="0" r="968">
      <c r="A968" s="13" t="n">
        <v>45812</v>
      </c>
      <c r="B968" s="6" t="n">
        <v>-263</v>
      </c>
      <c r="C968" s="6" t="n">
        <v>-263</v>
      </c>
      <c r="D968" s="16" t="s">
        <v>769</v>
      </c>
      <c r="E968" s="16"/>
      <c r="F968" s="16"/>
      <c r="G968" s="6" t="s">
        <f>=A968-A967</f>
      </c>
      <c r="H968" s="6" t="s">
        <f>=B968+H967</f>
      </c>
      <c r="I968" s="6" t="s">
        <f>=G968*H967</f>
      </c>
    </row>
    <row collapsed="false" customFormat="false" customHeight="false" hidden="false" ht="12.1" outlineLevel="0" r="969">
      <c r="A969" s="13" t="n">
        <v>45812</v>
      </c>
      <c r="B969" s="6" t="n">
        <v>-586.44</v>
      </c>
      <c r="C969" s="6" t="n">
        <v>-586.44</v>
      </c>
      <c r="D969" s="16" t="s">
        <v>770</v>
      </c>
      <c r="E969" s="16"/>
      <c r="F969" s="16"/>
      <c r="G969" s="6" t="s">
        <f>=A969-A968</f>
      </c>
      <c r="H969" s="6" t="s">
        <f>=B969+H968</f>
      </c>
      <c r="I969" s="6" t="s">
        <f>=G969*H968</f>
      </c>
    </row>
    <row collapsed="false" customFormat="false" customHeight="false" hidden="false" ht="12.1" outlineLevel="0" r="970">
      <c r="A970" s="13" t="n">
        <v>45812</v>
      </c>
      <c r="B970" s="6" t="n">
        <v>-19.87</v>
      </c>
      <c r="C970" s="6" t="n">
        <v>-19.87</v>
      </c>
      <c r="D970" s="16" t="s">
        <v>381</v>
      </c>
      <c r="E970" s="16"/>
      <c r="F970" s="16"/>
      <c r="G970" s="6" t="s">
        <f>=A970-A969</f>
      </c>
      <c r="H970" s="6" t="s">
        <f>=B970+H969</f>
      </c>
      <c r="I970" s="6" t="s">
        <f>=G970*H969</f>
      </c>
    </row>
    <row collapsed="false" customFormat="false" customHeight="false" hidden="false" ht="12.1" outlineLevel="0" r="971">
      <c r="A971" s="13" t="n">
        <v>45812</v>
      </c>
      <c r="B971" s="6" t="n">
        <v>-56.84</v>
      </c>
      <c r="C971" s="6" t="n">
        <v>-56.84</v>
      </c>
      <c r="D971" s="16" t="s">
        <v>652</v>
      </c>
      <c r="E971" s="16"/>
      <c r="F971" s="16"/>
      <c r="G971" s="6" t="s">
        <f>=A971-A970</f>
      </c>
      <c r="H971" s="6" t="s">
        <f>=B971+H970</f>
      </c>
      <c r="I971" s="6" t="s">
        <f>=G971*H970</f>
      </c>
    </row>
    <row collapsed="false" customFormat="false" customHeight="false" hidden="false" ht="12.1" outlineLevel="0" r="972">
      <c r="A972" s="13" t="n">
        <v>45812</v>
      </c>
      <c r="B972" s="6" t="n">
        <v>-814.2</v>
      </c>
      <c r="C972" s="6" t="n">
        <v>-814.2</v>
      </c>
      <c r="D972" s="16" t="s">
        <v>771</v>
      </c>
      <c r="E972" s="16"/>
      <c r="F972" s="16"/>
      <c r="G972" s="6" t="s">
        <f>=A972-A971</f>
      </c>
      <c r="H972" s="6" t="s">
        <f>=B972+H971</f>
      </c>
      <c r="I972" s="6" t="s">
        <f>=G972*H971</f>
      </c>
    </row>
    <row collapsed="false" customFormat="false" customHeight="false" hidden="false" ht="12.1" outlineLevel="0" r="973">
      <c r="A973" s="13" t="n">
        <v>45812</v>
      </c>
      <c r="B973" s="6" t="n">
        <v>-488.64</v>
      </c>
      <c r="C973" s="6" t="n">
        <v>-488.64</v>
      </c>
      <c r="D973" s="16" t="s">
        <v>772</v>
      </c>
      <c r="E973" s="16"/>
      <c r="F973" s="16"/>
      <c r="G973" s="6" t="s">
        <f>=A973-A972</f>
      </c>
      <c r="H973" s="6" t="s">
        <f>=B973+H972</f>
      </c>
      <c r="I973" s="6" t="s">
        <f>=G973*H972</f>
      </c>
    </row>
    <row collapsed="false" customFormat="false" customHeight="false" hidden="false" ht="12.1" outlineLevel="0" r="974">
      <c r="A974" s="13" t="n">
        <v>45812</v>
      </c>
      <c r="B974" s="6" t="n">
        <v>-65.32</v>
      </c>
      <c r="C974" s="6" t="n">
        <v>-65.32</v>
      </c>
      <c r="D974" s="16" t="s">
        <v>556</v>
      </c>
      <c r="E974" s="16"/>
      <c r="F974" s="16"/>
      <c r="G974" s="6" t="s">
        <f>=A974-A973</f>
      </c>
      <c r="H974" s="6" t="s">
        <f>=B974+H973</f>
      </c>
      <c r="I974" s="6" t="s">
        <f>=G974*H973</f>
      </c>
    </row>
    <row collapsed="false" customFormat="false" customHeight="false" hidden="false" ht="12.1" outlineLevel="0" r="975">
      <c r="A975" s="13" t="n">
        <v>45812</v>
      </c>
      <c r="B975" s="6" t="n">
        <v>-19.55</v>
      </c>
      <c r="C975" s="6" t="n">
        <v>-19.55</v>
      </c>
      <c r="D975" s="16" t="s">
        <v>655</v>
      </c>
      <c r="E975" s="16"/>
      <c r="F975" s="16"/>
      <c r="G975" s="6" t="s">
        <f>=A975-A974</f>
      </c>
      <c r="H975" s="6" t="s">
        <f>=B975+H974</f>
      </c>
      <c r="I975" s="6" t="s">
        <f>=G975*H974</f>
      </c>
    </row>
    <row collapsed="false" customFormat="false" customHeight="false" hidden="false" ht="12.1" outlineLevel="0" r="976">
      <c r="A976" s="13" t="n">
        <v>45812.495949074</v>
      </c>
      <c r="B976" s="6" t="n">
        <v>56.1</v>
      </c>
      <c r="C976" s="6" t="n">
        <v>56.1</v>
      </c>
      <c r="D976" s="16" t="s">
        <v>485</v>
      </c>
      <c r="E976" s="16"/>
      <c r="F976" s="16"/>
      <c r="G976" s="6" t="s">
        <f>=A976-A975</f>
      </c>
      <c r="H976" s="6" t="s">
        <f>=B976+H975</f>
      </c>
      <c r="I976" s="6" t="s">
        <f>=G976*H975</f>
      </c>
    </row>
    <row collapsed="false" customFormat="false" customHeight="false" hidden="false" ht="12.1" outlineLevel="0" r="977">
      <c r="A977" s="13" t="n">
        <v>45812.514618056</v>
      </c>
      <c r="B977" s="6" t="n">
        <v>29.17</v>
      </c>
      <c r="C977" s="6" t="n">
        <v>29.17</v>
      </c>
      <c r="D977" s="16" t="s">
        <v>657</v>
      </c>
      <c r="E977" s="16"/>
      <c r="F977" s="16"/>
      <c r="G977" s="6" t="s">
        <f>=A977-A976</f>
      </c>
      <c r="H977" s="6" t="s">
        <f>=B977+H976</f>
      </c>
      <c r="I977" s="6" t="s">
        <f>=G977*H976</f>
      </c>
    </row>
    <row collapsed="false" customFormat="false" customHeight="false" hidden="false" ht="12.1" outlineLevel="0" r="978">
      <c r="A978" s="13" t="n">
        <v>45812.744212963</v>
      </c>
      <c r="B978" s="6" t="n">
        <v>488.64</v>
      </c>
      <c r="C978" s="6" t="n">
        <v>488.64</v>
      </c>
      <c r="D978" s="16" t="s">
        <v>660</v>
      </c>
      <c r="E978" s="16"/>
      <c r="F978" s="16"/>
      <c r="G978" s="6" t="s">
        <f>=A978-A977</f>
      </c>
      <c r="H978" s="6" t="s">
        <f>=B978+H977</f>
      </c>
      <c r="I978" s="6" t="s">
        <f>=G978*H977</f>
      </c>
    </row>
    <row collapsed="false" customFormat="false" customHeight="false" hidden="false" ht="12.1" outlineLevel="0" r="979">
      <c r="A979" s="13" t="n">
        <v>45812.776828704</v>
      </c>
      <c r="B979" s="6" t="n">
        <v>814.2</v>
      </c>
      <c r="C979" s="6" t="n">
        <v>814.2</v>
      </c>
      <c r="D979" s="16" t="s">
        <v>427</v>
      </c>
      <c r="E979" s="16"/>
      <c r="F979" s="16"/>
      <c r="G979" s="6" t="s">
        <f>=A979-A978</f>
      </c>
      <c r="H979" s="6" t="s">
        <f>=B979+H978</f>
      </c>
      <c r="I979" s="6" t="s">
        <f>=G979*H978</f>
      </c>
    </row>
    <row collapsed="false" customFormat="false" customHeight="false" hidden="false" ht="12.1" outlineLevel="0" r="980">
      <c r="A980" s="13" t="n">
        <v>45812.784618056</v>
      </c>
      <c r="B980" s="6" t="n">
        <v>586.44</v>
      </c>
      <c r="C980" s="6" t="n">
        <v>586.44</v>
      </c>
      <c r="D980" s="16" t="s">
        <v>486</v>
      </c>
      <c r="E980" s="16"/>
      <c r="F980" s="16"/>
      <c r="G980" s="6" t="s">
        <f>=A980-A979</f>
      </c>
      <c r="H980" s="6" t="s">
        <f>=B980+H979</f>
      </c>
      <c r="I980" s="6" t="s">
        <f>=G980*H979</f>
      </c>
    </row>
    <row collapsed="false" customFormat="false" customHeight="false" hidden="false" ht="12.1" outlineLevel="0" r="981">
      <c r="A981" s="13" t="n">
        <v>45813</v>
      </c>
      <c r="B981" s="6" t="n">
        <v>-35.53</v>
      </c>
      <c r="C981" s="6" t="n">
        <v>-35.53</v>
      </c>
      <c r="D981" s="16" t="s">
        <v>659</v>
      </c>
      <c r="E981" s="16"/>
      <c r="F981" s="16"/>
      <c r="G981" s="6" t="s">
        <f>=A981-A980</f>
      </c>
      <c r="H981" s="6" t="s">
        <f>=B981+H980</f>
      </c>
      <c r="I981" s="6" t="s">
        <f>=G981*H980</f>
      </c>
    </row>
    <row collapsed="false" customFormat="false" customHeight="false" hidden="false" ht="12.1" outlineLevel="0" r="982">
      <c r="A982" s="13" t="n">
        <v>45813</v>
      </c>
      <c r="B982" s="6" t="n">
        <v>-6.49</v>
      </c>
      <c r="C982" s="6" t="n">
        <v>-6.49</v>
      </c>
      <c r="D982" s="16" t="s">
        <v>773</v>
      </c>
      <c r="E982" s="16"/>
      <c r="F982" s="16"/>
      <c r="G982" s="6" t="s">
        <f>=A982-A981</f>
      </c>
      <c r="H982" s="6" t="s">
        <f>=B982+H981</f>
      </c>
      <c r="I982" s="6" t="s">
        <f>=G982*H981</f>
      </c>
    </row>
    <row collapsed="false" customFormat="false" customHeight="false" hidden="false" ht="12.1" outlineLevel="0" r="983">
      <c r="A983" s="13" t="n">
        <v>45813</v>
      </c>
      <c r="B983" s="6" t="n">
        <v>6820</v>
      </c>
      <c r="C983" s="6" t="n">
        <v>6820</v>
      </c>
      <c r="D983" s="16" t="s">
        <v>350</v>
      </c>
      <c r="E983" s="16"/>
      <c r="F983" s="16"/>
      <c r="G983" s="6" t="s">
        <f>=A983-A982</f>
      </c>
      <c r="H983" s="6" t="s">
        <f>=B983+H982</f>
      </c>
      <c r="I983" s="6" t="s">
        <f>=G983*H982</f>
      </c>
    </row>
    <row collapsed="false" customFormat="false" customHeight="false" hidden="false" ht="12.1" outlineLevel="0" r="984">
      <c r="A984" s="13" t="n">
        <v>45813</v>
      </c>
      <c r="B984" s="6" t="n">
        <v>5000</v>
      </c>
      <c r="C984" s="6" t="n">
        <v>5000</v>
      </c>
      <c r="D984" s="16" t="s">
        <v>350</v>
      </c>
      <c r="E984" s="16"/>
      <c r="F984" s="16"/>
      <c r="G984" s="6" t="s">
        <f>=A984-A983</f>
      </c>
      <c r="H984" s="6" t="s">
        <f>=B984+H983</f>
      </c>
      <c r="I984" s="6" t="s">
        <f>=G984*H983</f>
      </c>
    </row>
    <row collapsed="false" customFormat="false" customHeight="false" hidden="false" ht="12.1" outlineLevel="0" r="985">
      <c r="A985" s="13" t="n">
        <v>45813.475532407</v>
      </c>
      <c r="B985" s="6" t="n">
        <v>65.32</v>
      </c>
      <c r="C985" s="6" t="n">
        <v>65.32</v>
      </c>
      <c r="D985" s="16" t="s">
        <v>426</v>
      </c>
      <c r="E985" s="16"/>
      <c r="F985" s="16"/>
      <c r="G985" s="6" t="s">
        <f>=A985-A984</f>
      </c>
      <c r="H985" s="6" t="s">
        <f>=B985+H984</f>
      </c>
      <c r="I985" s="6" t="s">
        <f>=G985*H984</f>
      </c>
    </row>
    <row collapsed="false" customFormat="false" customHeight="false" hidden="false" ht="12.1" outlineLevel="0" r="986">
      <c r="A986" s="13" t="n">
        <v>45813.479236111</v>
      </c>
      <c r="B986" s="6" t="n">
        <v>19.55</v>
      </c>
      <c r="C986" s="6" t="n">
        <v>19.55</v>
      </c>
      <c r="D986" s="16" t="s">
        <v>662</v>
      </c>
      <c r="E986" s="16"/>
      <c r="F986" s="16"/>
      <c r="G986" s="6" t="s">
        <f>=A986-A985</f>
      </c>
      <c r="H986" s="6" t="s">
        <f>=B986+H985</f>
      </c>
      <c r="I986" s="6" t="s">
        <f>=G986*H985</f>
      </c>
    </row>
    <row collapsed="false" customFormat="false" customHeight="false" hidden="false" ht="12.1" outlineLevel="0" r="987">
      <c r="A987" s="13" t="n">
        <v>45813.479756944</v>
      </c>
      <c r="B987" s="6" t="n">
        <v>19.87</v>
      </c>
      <c r="C987" s="6" t="n">
        <v>19.87</v>
      </c>
      <c r="D987" s="16" t="s">
        <v>382</v>
      </c>
      <c r="E987" s="16"/>
      <c r="F987" s="16"/>
      <c r="G987" s="6" t="s">
        <f>=A987-A986</f>
      </c>
      <c r="H987" s="6" t="s">
        <f>=B987+H986</f>
      </c>
      <c r="I987" s="6" t="s">
        <f>=G987*H986</f>
      </c>
    </row>
    <row collapsed="false" customFormat="false" customHeight="false" hidden="false" ht="12.1" outlineLevel="0" r="988">
      <c r="A988" s="13" t="n">
        <v>45813.502303241</v>
      </c>
      <c r="B988" s="6" t="n">
        <v>56.84</v>
      </c>
      <c r="C988" s="6" t="n">
        <v>56.84</v>
      </c>
      <c r="D988" s="16" t="s">
        <v>661</v>
      </c>
      <c r="E988" s="16"/>
      <c r="F988" s="16"/>
      <c r="G988" s="6" t="s">
        <f>=A988-A987</f>
      </c>
      <c r="H988" s="6" t="s">
        <f>=B988+H987</f>
      </c>
      <c r="I988" s="6" t="s">
        <f>=G988*H987</f>
      </c>
    </row>
    <row collapsed="false" customFormat="false" customHeight="false" hidden="false" ht="12.1" outlineLevel="0" r="989">
      <c r="A989" s="13" t="n">
        <v>45814.446412037</v>
      </c>
      <c r="B989" s="6" t="n">
        <v>6.49</v>
      </c>
      <c r="C989" s="6" t="n">
        <v>6.49</v>
      </c>
      <c r="D989" s="16" t="s">
        <v>517</v>
      </c>
      <c r="E989" s="16"/>
      <c r="F989" s="16"/>
      <c r="G989" s="6" t="s">
        <f>=A989-A988</f>
      </c>
      <c r="H989" s="6" t="s">
        <f>=B989+H988</f>
      </c>
      <c r="I989" s="6" t="s">
        <f>=G989*H988</f>
      </c>
    </row>
    <row collapsed="false" customFormat="false" customHeight="false" hidden="false" ht="12.1" outlineLevel="0" r="990">
      <c r="A990" s="13" t="n">
        <v>45814.448148148</v>
      </c>
      <c r="B990" s="6" t="n">
        <v>263</v>
      </c>
      <c r="C990" s="6" t="n">
        <v>263</v>
      </c>
      <c r="D990" s="16" t="s">
        <v>774</v>
      </c>
      <c r="E990" s="16"/>
      <c r="F990" s="16"/>
      <c r="G990" s="6" t="s">
        <f>=A990-A989</f>
      </c>
      <c r="H990" s="6" t="s">
        <f>=B990+H989</f>
      </c>
      <c r="I990" s="6" t="s">
        <f>=G990*H989</f>
      </c>
    </row>
    <row collapsed="false" customFormat="false" customHeight="false" hidden="false" ht="12.1" outlineLevel="0" r="991">
      <c r="A991" s="13" t="n">
        <v>45814.472962963</v>
      </c>
      <c r="B991" s="6" t="n">
        <v>35.53</v>
      </c>
      <c r="C991" s="6" t="n">
        <v>35.53</v>
      </c>
      <c r="D991" s="16" t="s">
        <v>663</v>
      </c>
      <c r="E991" s="16"/>
      <c r="F991" s="16"/>
      <c r="G991" s="6" t="s">
        <f>=A991-A990</f>
      </c>
      <c r="H991" s="6" t="s">
        <f>=B991+H990</f>
      </c>
      <c r="I991" s="6" t="s">
        <f>=G991*H990</f>
      </c>
    </row>
    <row collapsed="false" customFormat="false" customHeight="false" hidden="false" ht="12.1" outlineLevel="0" r="992">
      <c r="A992" s="13" t="n">
        <v>45815</v>
      </c>
      <c r="B992" s="6" t="n">
        <v>-19.11</v>
      </c>
      <c r="C992" s="6" t="n">
        <v>-19.11</v>
      </c>
      <c r="D992" s="16" t="s">
        <v>743</v>
      </c>
      <c r="E992" s="16"/>
      <c r="F992" s="16"/>
      <c r="G992" s="6" t="s">
        <f>=A992-A991</f>
      </c>
      <c r="H992" s="6" t="s">
        <f>=B992+H991</f>
      </c>
      <c r="I992" s="6" t="s">
        <f>=G992*H991</f>
      </c>
    </row>
    <row collapsed="false" customFormat="false" customHeight="false" hidden="false" ht="12.1" outlineLevel="0" r="993">
      <c r="A993" s="13" t="n">
        <v>45815</v>
      </c>
      <c r="B993" s="6" t="n">
        <v>-19.04</v>
      </c>
      <c r="C993" s="6" t="n">
        <v>-19.04</v>
      </c>
      <c r="D993" s="16" t="s">
        <v>775</v>
      </c>
      <c r="E993" s="16"/>
      <c r="F993" s="16"/>
      <c r="G993" s="6" t="s">
        <f>=A993-A992</f>
      </c>
      <c r="H993" s="6" t="s">
        <f>=B993+H992</f>
      </c>
      <c r="I993" s="6" t="s">
        <f>=G993*H992</f>
      </c>
    </row>
    <row collapsed="false" customFormat="false" customHeight="false" hidden="false" ht="12.1" outlineLevel="0" r="994">
      <c r="A994" s="13" t="n">
        <v>45817</v>
      </c>
      <c r="B994" s="6" t="n">
        <v>-495.2591236446</v>
      </c>
      <c r="C994" s="6" t="n">
        <v>-495.2591236446</v>
      </c>
      <c r="D994" s="16" t="s">
        <v>776</v>
      </c>
      <c r="E994" s="16"/>
      <c r="F994" s="16"/>
      <c r="G994" s="6" t="s">
        <f>=A994-A993</f>
      </c>
      <c r="H994" s="6" t="s">
        <f>=B994+H993</f>
      </c>
      <c r="I994" s="6" t="s">
        <f>=G994*H993</f>
      </c>
    </row>
    <row collapsed="false" customFormat="false" customHeight="false" hidden="false" ht="12.1" outlineLevel="0" r="995">
      <c r="A995" s="13" t="n">
        <v>45818</v>
      </c>
      <c r="B995" s="6" t="n">
        <v>-28.95</v>
      </c>
      <c r="C995" s="6" t="n">
        <v>-28.95</v>
      </c>
      <c r="D995" s="16" t="s">
        <v>777</v>
      </c>
      <c r="E995" s="16"/>
      <c r="F995" s="16"/>
      <c r="G995" s="6" t="s">
        <f>=A995-A994</f>
      </c>
      <c r="H995" s="6" t="s">
        <f>=B995+H994</f>
      </c>
      <c r="I995" s="6" t="s">
        <f>=G995*H994</f>
      </c>
    </row>
    <row collapsed="false" customFormat="false" customHeight="false" hidden="false" ht="12.1" outlineLevel="0" r="996">
      <c r="A996" s="13" t="n">
        <v>45818.568506944</v>
      </c>
      <c r="B996" s="6" t="n">
        <v>19.11</v>
      </c>
      <c r="C996" s="6" t="n">
        <v>19.11</v>
      </c>
      <c r="D996" s="16" t="s">
        <v>748</v>
      </c>
      <c r="E996" s="16"/>
      <c r="F996" s="16"/>
      <c r="G996" s="6" t="s">
        <f>=A996-A995</f>
      </c>
      <c r="H996" s="6" t="s">
        <f>=B996+H995</f>
      </c>
      <c r="I996" s="6" t="s">
        <f>=G996*H995</f>
      </c>
    </row>
    <row collapsed="false" customFormat="false" customHeight="false" hidden="false" ht="12.1" outlineLevel="0" r="997">
      <c r="A997" s="13" t="n">
        <v>45818.571087963</v>
      </c>
      <c r="B997" s="6" t="n">
        <v>19.04</v>
      </c>
      <c r="C997" s="6" t="n">
        <v>19.04</v>
      </c>
      <c r="D997" s="16" t="s">
        <v>745</v>
      </c>
      <c r="E997" s="16"/>
      <c r="F997" s="16"/>
      <c r="G997" s="6" t="s">
        <f>=A997-A996</f>
      </c>
      <c r="H997" s="6" t="s">
        <f>=B997+H996</f>
      </c>
      <c r="I997" s="6" t="s">
        <f>=G997*H996</f>
      </c>
    </row>
    <row collapsed="false" customFormat="false" customHeight="false" hidden="false" ht="12.1" outlineLevel="0" r="998">
      <c r="A998" s="13" t="n">
        <v>45819.42681713</v>
      </c>
      <c r="B998" s="6" t="n">
        <v>28.95</v>
      </c>
      <c r="C998" s="6" t="n">
        <v>28.95</v>
      </c>
      <c r="D998" s="16" t="s">
        <v>429</v>
      </c>
      <c r="E998" s="16"/>
      <c r="F998" s="16"/>
      <c r="G998" s="6" t="s">
        <f>=A998-A997</f>
      </c>
      <c r="H998" s="6" t="s">
        <f>=B998+H997</f>
      </c>
      <c r="I998" s="6" t="s">
        <f>=G998*H997</f>
      </c>
    </row>
    <row collapsed="false" customFormat="false" customHeight="false" hidden="false" ht="12.1" outlineLevel="0" r="999">
      <c r="A999" s="13" t="n">
        <v>45821</v>
      </c>
      <c r="B999" s="6" t="n">
        <v>-35.66</v>
      </c>
      <c r="C999" s="6" t="n">
        <v>-35.66</v>
      </c>
      <c r="D999" s="16" t="s">
        <v>701</v>
      </c>
      <c r="E999" s="16"/>
      <c r="F999" s="16"/>
      <c r="G999" s="6" t="s">
        <f>=A999-A998</f>
      </c>
      <c r="H999" s="6" t="s">
        <f>=B999+H998</f>
      </c>
      <c r="I999" s="6" t="s">
        <f>=G999*H998</f>
      </c>
    </row>
    <row collapsed="false" customFormat="false" customHeight="false" hidden="false" ht="12.1" outlineLevel="0" r="1000">
      <c r="A1000" s="13" t="n">
        <v>45824</v>
      </c>
      <c r="B1000" s="6" t="n">
        <v>-18.75</v>
      </c>
      <c r="C1000" s="6" t="n">
        <v>-18.75</v>
      </c>
      <c r="D1000" s="16" t="s">
        <v>778</v>
      </c>
      <c r="E1000" s="16"/>
      <c r="F1000" s="16"/>
      <c r="G1000" s="6" t="s">
        <f>=A1000-A999</f>
      </c>
      <c r="H1000" s="6" t="s">
        <f>=B1000+H999</f>
      </c>
      <c r="I1000" s="6" t="s">
        <f>=G1000*H999</f>
      </c>
    </row>
    <row collapsed="false" customFormat="false" customHeight="false" hidden="false" ht="12.1" outlineLevel="0" r="1001">
      <c r="A1001" s="13" t="n">
        <v>45825.499583333</v>
      </c>
      <c r="B1001" s="6" t="n">
        <v>18.75</v>
      </c>
      <c r="C1001" s="6" t="n">
        <v>18.75</v>
      </c>
      <c r="D1001" s="16" t="s">
        <v>726</v>
      </c>
      <c r="E1001" s="16"/>
      <c r="F1001" s="16"/>
      <c r="G1001" s="6" t="s">
        <f>=A1001-A1000</f>
      </c>
      <c r="H1001" s="6" t="s">
        <f>=B1001+H1000</f>
      </c>
      <c r="I1001" s="6" t="s">
        <f>=G1001*H1000</f>
      </c>
    </row>
    <row collapsed="false" customFormat="false" customHeight="false" hidden="false" ht="12.1" outlineLevel="0" r="1002">
      <c r="A1002" s="13" t="n">
        <v>45825.51462963</v>
      </c>
      <c r="B1002" s="6" t="n">
        <v>35.66</v>
      </c>
      <c r="C1002" s="6" t="n">
        <v>35.66</v>
      </c>
      <c r="D1002" s="16" t="s">
        <v>702</v>
      </c>
      <c r="E1002" s="16"/>
      <c r="F1002" s="16"/>
      <c r="G1002" s="6" t="s">
        <f>=A1002-A1001</f>
      </c>
      <c r="H1002" s="6" t="s">
        <f>=B1002+H1001</f>
      </c>
      <c r="I1002" s="6" t="s">
        <f>=G1002*H1001</f>
      </c>
    </row>
    <row collapsed="false" customFormat="false" customHeight="false" hidden="false" ht="12.1" outlineLevel="0" r="1003">
      <c r="A1003" s="13" t="n">
        <v>45826</v>
      </c>
      <c r="B1003" s="6" t="n">
        <v>-1390.62</v>
      </c>
      <c r="C1003" s="6" t="n">
        <v>-1390.62</v>
      </c>
      <c r="D1003" s="16" t="s">
        <v>779</v>
      </c>
      <c r="E1003" s="16"/>
      <c r="F1003" s="16"/>
      <c r="G1003" s="6" t="s">
        <f>=A1003-A1002</f>
      </c>
      <c r="H1003" s="6" t="s">
        <f>=B1003+H1002</f>
      </c>
      <c r="I1003" s="6" t="s">
        <f>=G1003*H1002</f>
      </c>
    </row>
    <row collapsed="false" customFormat="false" customHeight="false" hidden="false" ht="12.1" outlineLevel="0" r="1004">
      <c r="A1004" s="13" t="n">
        <v>45827.497685185</v>
      </c>
      <c r="B1004" s="6" t="n">
        <v>1390.62</v>
      </c>
      <c r="C1004" s="6" t="n">
        <v>1390.62</v>
      </c>
      <c r="D1004" s="16" t="s">
        <v>384</v>
      </c>
      <c r="E1004" s="16"/>
      <c r="F1004" s="16"/>
      <c r="G1004" s="6" t="s">
        <f>=A1004-A1003</f>
      </c>
      <c r="H1004" s="6" t="s">
        <f>=B1004+H1003</f>
      </c>
      <c r="I1004" s="6" t="s">
        <f>=G1004*H1003</f>
      </c>
    </row>
    <row collapsed="false" customFormat="false" customHeight="false" hidden="false" ht="12.1" outlineLevel="0" r="1005">
      <c r="A1005" s="13" t="n">
        <v>45827.62568287</v>
      </c>
      <c r="B1005" s="6" t="n">
        <v>431.1</v>
      </c>
      <c r="C1005" s="6" t="n">
        <v>431.1</v>
      </c>
      <c r="D1005" s="16" t="s">
        <v>679</v>
      </c>
      <c r="E1005" s="16"/>
      <c r="F1005" s="16"/>
      <c r="G1005" s="6" t="s">
        <f>=A1005-A1004</f>
      </c>
      <c r="H1005" s="6" t="s">
        <f>=B1005+H1004</f>
      </c>
      <c r="I1005" s="6" t="s">
        <f>=G1005*H1004</f>
      </c>
    </row>
    <row collapsed="false" customFormat="false" customHeight="false" hidden="false" ht="12.1" outlineLevel="0" r="1006">
      <c r="A1006" s="13" t="n">
        <v>45829</v>
      </c>
      <c r="B1006" s="6" t="n">
        <v>-20.96</v>
      </c>
      <c r="C1006" s="6" t="n">
        <v>-20.96</v>
      </c>
      <c r="D1006" s="16" t="s">
        <v>757</v>
      </c>
      <c r="E1006" s="16"/>
      <c r="F1006" s="16"/>
      <c r="G1006" s="6" t="s">
        <f>=A1006-A1005</f>
      </c>
      <c r="H1006" s="6" t="s">
        <f>=B1006+H1005</f>
      </c>
      <c r="I1006" s="6" t="s">
        <f>=G1006*H1005</f>
      </c>
    </row>
    <row collapsed="false" customFormat="false" customHeight="false" hidden="false" ht="12.1" outlineLevel="0" r="1007">
      <c r="A1007" s="13" t="n">
        <v>45830</v>
      </c>
      <c r="B1007" s="6" t="n">
        <v>-11.18</v>
      </c>
      <c r="C1007" s="6" t="n">
        <v>-11.18</v>
      </c>
      <c r="D1007" s="16" t="s">
        <v>613</v>
      </c>
      <c r="E1007" s="16"/>
      <c r="F1007" s="16"/>
      <c r="G1007" s="6" t="s">
        <f>=A1007-A1006</f>
      </c>
      <c r="H1007" s="6" t="s">
        <f>=B1007+H1006</f>
      </c>
      <c r="I1007" s="6" t="s">
        <f>=G1007*H1006</f>
      </c>
    </row>
    <row collapsed="false" customFormat="false" customHeight="false" hidden="false" ht="12.1" outlineLevel="0" r="1008">
      <c r="A1008" s="13" t="n">
        <v>45832</v>
      </c>
      <c r="B1008" s="6" t="n">
        <v>-36.32</v>
      </c>
      <c r="C1008" s="6" t="n">
        <v>-36.32</v>
      </c>
      <c r="D1008" s="16" t="s">
        <v>669</v>
      </c>
      <c r="E1008" s="16"/>
      <c r="F1008" s="16"/>
      <c r="G1008" s="6" t="s">
        <f>=A1008-A1007</f>
      </c>
      <c r="H1008" s="6" t="s">
        <f>=B1008+H1007</f>
      </c>
      <c r="I1008" s="6" t="s">
        <f>=G1008*H1007</f>
      </c>
    </row>
    <row collapsed="false" customFormat="false" customHeight="false" hidden="false" ht="12.1" outlineLevel="0" r="1009">
      <c r="A1009" s="13" t="n">
        <v>45832.464467593</v>
      </c>
      <c r="B1009" s="6" t="n">
        <v>20.96</v>
      </c>
      <c r="C1009" s="6" t="n">
        <v>20.96</v>
      </c>
      <c r="D1009" s="16" t="s">
        <v>759</v>
      </c>
      <c r="E1009" s="16"/>
      <c r="F1009" s="16"/>
      <c r="G1009" s="6" t="s">
        <f>=A1009-A1008</f>
      </c>
      <c r="H1009" s="6" t="s">
        <f>=B1009+H1008</f>
      </c>
      <c r="I1009" s="6" t="s">
        <f>=G1009*H1008</f>
      </c>
    </row>
    <row collapsed="false" customFormat="false" customHeight="false" hidden="false" ht="12.1" outlineLevel="0" r="1010">
      <c r="A1010" s="13" t="n">
        <v>45832.466655093</v>
      </c>
      <c r="B1010" s="6" t="n">
        <v>11.18</v>
      </c>
      <c r="C1010" s="6" t="n">
        <v>11.18</v>
      </c>
      <c r="D1010" s="16" t="s">
        <v>616</v>
      </c>
      <c r="E1010" s="16"/>
      <c r="F1010" s="16"/>
      <c r="G1010" s="6" t="s">
        <f>=A1010-A1009</f>
      </c>
      <c r="H1010" s="6" t="s">
        <f>=B1010+H1009</f>
      </c>
      <c r="I1010" s="6" t="s">
        <f>=G1010*H1009</f>
      </c>
    </row>
    <row collapsed="false" customFormat="false" customHeight="false" hidden="false" ht="12.1" outlineLevel="0" r="1011">
      <c r="A1011" s="13" t="n">
        <v>45833.483576389</v>
      </c>
      <c r="B1011" s="6" t="n">
        <v>36.32</v>
      </c>
      <c r="C1011" s="6" t="n">
        <v>36.32</v>
      </c>
      <c r="D1011" s="16" t="s">
        <v>590</v>
      </c>
      <c r="E1011" s="16"/>
      <c r="F1011" s="16"/>
      <c r="G1011" s="6" t="s">
        <f>=A1011-A1010</f>
      </c>
      <c r="H1011" s="6" t="s">
        <f>=B1011+H1010</f>
      </c>
      <c r="I1011" s="6" t="s">
        <f>=G1011*H1010</f>
      </c>
    </row>
    <row collapsed="false" customFormat="false" customHeight="false" hidden="false" ht="12.1" outlineLevel="0" r="1012">
      <c r="A1012" s="13" t="n">
        <v>45834</v>
      </c>
      <c r="B1012" s="6" t="n">
        <v>-400</v>
      </c>
      <c r="C1012" s="6" t="n">
        <v>-400</v>
      </c>
      <c r="D1012" s="16" t="s">
        <v>569</v>
      </c>
      <c r="E1012" s="16"/>
      <c r="F1012" s="16"/>
      <c r="G1012" s="6" t="s">
        <f>=A1012-A1011</f>
      </c>
      <c r="H1012" s="6" t="s">
        <f>=B1012+H1011</f>
      </c>
      <c r="I1012" s="6" t="s">
        <f>=G1012*H1011</f>
      </c>
    </row>
    <row collapsed="false" customFormat="false" customHeight="false" hidden="false" ht="12.1" outlineLevel="0" r="1013">
      <c r="A1013" s="13" t="n">
        <v>45834.504270833</v>
      </c>
      <c r="B1013" s="6" t="n">
        <v>495.26</v>
      </c>
      <c r="C1013" s="6" t="n">
        <v>495.26</v>
      </c>
      <c r="D1013" s="16" t="s">
        <v>430</v>
      </c>
      <c r="E1013" s="16"/>
      <c r="F1013" s="16"/>
      <c r="G1013" s="6" t="s">
        <f>=A1013-A1012</f>
      </c>
      <c r="H1013" s="6" t="s">
        <f>=B1013+H1012</f>
      </c>
      <c r="I1013" s="6" t="s">
        <f>=G1013*H1012</f>
      </c>
    </row>
    <row collapsed="false" customFormat="false" customHeight="false" hidden="false" ht="12.1" outlineLevel="0" r="1014">
      <c r="A1014" s="13" t="n">
        <v>45835</v>
      </c>
      <c r="B1014" s="6" t="n">
        <v>-46.08</v>
      </c>
      <c r="C1014" s="6" t="n">
        <v>-46.08</v>
      </c>
      <c r="D1014" s="16" t="s">
        <v>780</v>
      </c>
      <c r="E1014" s="16"/>
      <c r="F1014" s="16"/>
      <c r="G1014" s="6" t="s">
        <f>=A1014-A1013</f>
      </c>
      <c r="H1014" s="6" t="s">
        <f>=B1014+H1013</f>
      </c>
      <c r="I1014" s="6" t="s">
        <f>=G1014*H1013</f>
      </c>
    </row>
    <row collapsed="false" customFormat="false" customHeight="false" hidden="false" ht="12.1" outlineLevel="0" r="1015">
      <c r="A1015" s="13" t="n">
        <v>45836</v>
      </c>
      <c r="B1015" s="6" t="n">
        <v>-19.48</v>
      </c>
      <c r="C1015" s="6" t="n">
        <v>-19.48</v>
      </c>
      <c r="D1015" s="16" t="s">
        <v>763</v>
      </c>
      <c r="E1015" s="16"/>
      <c r="F1015" s="16"/>
      <c r="G1015" s="6" t="s">
        <f>=A1015-A1014</f>
      </c>
      <c r="H1015" s="6" t="s">
        <f>=B1015+H1014</f>
      </c>
      <c r="I1015" s="6" t="s">
        <f>=G1015*H1014</f>
      </c>
    </row>
    <row collapsed="false" customFormat="false" customHeight="false" hidden="false" ht="12.1" outlineLevel="0" r="1016">
      <c r="A1016" s="13" t="n">
        <v>45837</v>
      </c>
      <c r="B1016" s="6" t="n">
        <v>-18.73</v>
      </c>
      <c r="C1016" s="6" t="n">
        <v>-18.73</v>
      </c>
      <c r="D1016" s="16" t="s">
        <v>781</v>
      </c>
      <c r="E1016" s="16"/>
      <c r="F1016" s="16"/>
      <c r="G1016" s="6" t="s">
        <f>=A1016-A1015</f>
      </c>
      <c r="H1016" s="6" t="s">
        <f>=B1016+H1015</f>
      </c>
      <c r="I1016" s="6" t="s">
        <f>=G1016*H1015</f>
      </c>
    </row>
    <row collapsed="false" customFormat="false" customHeight="false" hidden="false" ht="12.1" outlineLevel="0" r="1017">
      <c r="A1017" s="13" t="n">
        <v>45838.448738426</v>
      </c>
      <c r="B1017" s="6" t="n">
        <v>46.08</v>
      </c>
      <c r="C1017" s="6" t="n">
        <v>46.08</v>
      </c>
      <c r="D1017" s="16" t="s">
        <v>495</v>
      </c>
      <c r="E1017" s="16"/>
      <c r="F1017" s="16"/>
      <c r="G1017" s="6" t="s">
        <f>=A1017-A1016</f>
      </c>
      <c r="H1017" s="6" t="s">
        <f>=B1017+H1016</f>
      </c>
      <c r="I1017" s="6" t="s">
        <f>=G1017*H1016</f>
      </c>
    </row>
    <row collapsed="false" customFormat="false" customHeight="false" hidden="false" ht="12.1" outlineLevel="0" r="1018">
      <c r="A1018" s="13" t="n">
        <v>45838.450046296</v>
      </c>
      <c r="B1018" s="6" t="n">
        <v>400</v>
      </c>
      <c r="C1018" s="6" t="n">
        <v>400</v>
      </c>
      <c r="D1018" s="16" t="s">
        <v>570</v>
      </c>
      <c r="E1018" s="16"/>
      <c r="F1018" s="16"/>
      <c r="G1018" s="6" t="s">
        <f>=A1018-A1017</f>
      </c>
      <c r="H1018" s="6" t="s">
        <f>=B1018+H1017</f>
      </c>
      <c r="I1018" s="6" t="s">
        <f>=G1018*H1017</f>
      </c>
    </row>
    <row collapsed="false" customFormat="false" customHeight="false" hidden="false" ht="12.1" outlineLevel="0" r="1019">
      <c r="A1019" s="13" t="n">
        <v>45839.420104167</v>
      </c>
      <c r="B1019" s="6" t="n">
        <v>19.48</v>
      </c>
      <c r="C1019" s="6" t="n">
        <v>19.48</v>
      </c>
      <c r="D1019" s="16" t="s">
        <v>764</v>
      </c>
      <c r="E1019" s="16"/>
      <c r="F1019" s="16"/>
      <c r="G1019" s="6" t="s">
        <f>=A1019-A1018</f>
      </c>
      <c r="H1019" s="6" t="s">
        <f>=B1019+H1018</f>
      </c>
      <c r="I1019" s="6" t="s">
        <f>=G1019*H1018</f>
      </c>
    </row>
    <row collapsed="false" customFormat="false" customHeight="false" hidden="false" ht="12.1" outlineLevel="0" r="1020">
      <c r="A1020" s="13" t="n">
        <v>45839.524652778</v>
      </c>
      <c r="B1020" s="6" t="n">
        <v>18.73</v>
      </c>
      <c r="C1020" s="6" t="n">
        <v>18.73</v>
      </c>
      <c r="D1020" s="16" t="s">
        <v>520</v>
      </c>
      <c r="E1020" s="16"/>
      <c r="F1020" s="16"/>
      <c r="G1020" s="6" t="s">
        <f>=A1020-A1019</f>
      </c>
      <c r="H1020" s="6" t="s">
        <f>=B1020+H1019</f>
      </c>
      <c r="I1020" s="6" t="s">
        <f>=G1020*H1019</f>
      </c>
    </row>
    <row collapsed="false" customFormat="false" customHeight="false" hidden="false" ht="12.1" outlineLevel="0" r="1021">
      <c r="A1021" s="13" t="n">
        <v>45840</v>
      </c>
      <c r="B1021" s="6" t="n">
        <v>-200</v>
      </c>
      <c r="C1021" s="6" t="n">
        <v>-200</v>
      </c>
      <c r="D1021" s="16" t="s">
        <v>353</v>
      </c>
      <c r="E1021" s="16"/>
      <c r="F1021" s="16"/>
      <c r="G1021" s="6" t="s">
        <f>=A1021-A1020</f>
      </c>
      <c r="H1021" s="6" t="s">
        <f>=B1021+H1020</f>
      </c>
      <c r="I1021" s="6" t="s">
        <f>=G1021*H1020</f>
      </c>
    </row>
    <row collapsed="false" customFormat="false" customHeight="false" hidden="false" ht="12.1" outlineLevel="0" r="1022">
      <c r="A1022" s="13" t="n">
        <v>45840</v>
      </c>
      <c r="B1022" s="6" t="n">
        <v>-37.82</v>
      </c>
      <c r="C1022" s="6" t="n">
        <v>-37.82</v>
      </c>
      <c r="D1022" s="16" t="s">
        <v>782</v>
      </c>
      <c r="E1022" s="16"/>
      <c r="F1022" s="16"/>
      <c r="G1022" s="6" t="s">
        <f>=A1022-A1021</f>
      </c>
      <c r="H1022" s="6" t="s">
        <f>=B1022+H1021</f>
      </c>
      <c r="I1022" s="6" t="s">
        <f>=G1022*H1021</f>
      </c>
    </row>
    <row collapsed="false" customFormat="false" customHeight="false" hidden="false" ht="12.1" outlineLevel="0" r="1023">
      <c r="A1023" s="13" t="n">
        <v>45840.641631944</v>
      </c>
      <c r="B1023" s="6" t="n">
        <v>11820</v>
      </c>
      <c r="C1023" s="6" t="n">
        <v>11820</v>
      </c>
      <c r="D1023" s="16" t="s">
        <v>350</v>
      </c>
      <c r="E1023" s="16"/>
      <c r="F1023" s="16"/>
      <c r="G1023" s="6" t="s">
        <f>=A1023-A1022</f>
      </c>
      <c r="H1023" s="6" t="s">
        <f>=B1023+H1022</f>
      </c>
      <c r="I1023" s="6" t="s">
        <f>=G1023*H1022</f>
      </c>
    </row>
    <row collapsed="false" customFormat="false" customHeight="false" hidden="false" ht="12.1" outlineLevel="0" r="1024">
      <c r="A1024" s="13" t="n">
        <v>45841</v>
      </c>
      <c r="B1024" s="6" t="n">
        <v>-6.98</v>
      </c>
      <c r="C1024" s="6" t="n">
        <v>-6.98</v>
      </c>
      <c r="D1024" s="16" t="s">
        <v>621</v>
      </c>
      <c r="E1024" s="16"/>
      <c r="F1024" s="16"/>
      <c r="G1024" s="6" t="s">
        <f>=A1024-A1023</f>
      </c>
      <c r="H1024" s="6" t="s">
        <f>=B1024+H1023</f>
      </c>
      <c r="I1024" s="6" t="s">
        <f>=G1024*H1023</f>
      </c>
    </row>
    <row collapsed="false" customFormat="false" customHeight="false" hidden="false" ht="12.1" outlineLevel="0" r="1025">
      <c r="A1025" s="13" t="n">
        <v>45841.460729167</v>
      </c>
      <c r="B1025" s="6" t="n">
        <v>37.82</v>
      </c>
      <c r="C1025" s="6" t="n">
        <v>37.82</v>
      </c>
      <c r="D1025" s="16" t="s">
        <v>454</v>
      </c>
      <c r="E1025" s="16"/>
      <c r="F1025" s="16"/>
      <c r="G1025" s="6" t="s">
        <f>=A1025-A1024</f>
      </c>
      <c r="H1025" s="6" t="s">
        <f>=B1025+H1024</f>
      </c>
      <c r="I1025" s="6" t="s">
        <f>=G1025*H1024</f>
      </c>
    </row>
    <row collapsed="false" customFormat="false" customHeight="false" hidden="false" ht="12.1" outlineLevel="0" r="1026">
      <c r="A1026" s="13" t="n">
        <v>45842.477777778</v>
      </c>
      <c r="B1026" s="6" t="n">
        <v>200</v>
      </c>
      <c r="C1026" s="6" t="n">
        <v>200</v>
      </c>
      <c r="D1026" s="16" t="s">
        <v>783</v>
      </c>
      <c r="E1026" s="16"/>
      <c r="F1026" s="16"/>
      <c r="G1026" s="6" t="s">
        <f>=A1026-A1025</f>
      </c>
      <c r="H1026" s="6" t="s">
        <f>=B1026+H1025</f>
      </c>
      <c r="I1026" s="6" t="s">
        <f>=G1026*H1025</f>
      </c>
    </row>
    <row collapsed="false" customFormat="false" customHeight="false" hidden="false" ht="12.1" outlineLevel="0" r="1027">
      <c r="A1027" s="13" t="n">
        <v>45842.48162037</v>
      </c>
      <c r="B1027" s="6" t="n">
        <v>6.98</v>
      </c>
      <c r="C1027" s="6" t="n">
        <v>6.98</v>
      </c>
      <c r="D1027" s="16" t="s">
        <v>355</v>
      </c>
      <c r="E1027" s="16"/>
      <c r="F1027" s="16"/>
      <c r="G1027" s="6" t="s">
        <f>=A1027-A1026</f>
      </c>
      <c r="H1027" s="6" t="s">
        <f>=B1027+H1026</f>
      </c>
      <c r="I1027" s="6" t="s">
        <f>=G1027*H1026</f>
      </c>
    </row>
    <row collapsed="false" customFormat="false" customHeight="false" hidden="false" ht="12.1" outlineLevel="0" r="1028">
      <c r="A1028" s="13" t="n">
        <v>45844</v>
      </c>
      <c r="B1028" s="6" t="n">
        <v>-3.28</v>
      </c>
      <c r="C1028" s="6" t="n">
        <v>-3.28</v>
      </c>
      <c r="D1028" s="16" t="s">
        <v>784</v>
      </c>
      <c r="E1028" s="16"/>
      <c r="F1028" s="16"/>
      <c r="G1028" s="6" t="s">
        <f>=A1028-A1027</f>
      </c>
      <c r="H1028" s="6" t="s">
        <f>=B1028+H1027</f>
      </c>
      <c r="I1028" s="6" t="s">
        <f>=G1028*H1027</f>
      </c>
    </row>
    <row collapsed="false" customFormat="false" customHeight="false" hidden="false" ht="12.1" outlineLevel="0" r="1029">
      <c r="A1029" s="13" t="n">
        <v>45845</v>
      </c>
      <c r="B1029" s="6" t="n">
        <v>-44.88</v>
      </c>
      <c r="C1029" s="6" t="n">
        <v>-44.88</v>
      </c>
      <c r="D1029" s="16" t="s">
        <v>785</v>
      </c>
      <c r="E1029" s="16"/>
      <c r="F1029" s="16"/>
      <c r="G1029" s="6" t="s">
        <f>=A1029-A1028</f>
      </c>
      <c r="H1029" s="6" t="s">
        <f>=B1029+H1028</f>
      </c>
      <c r="I1029" s="6" t="s">
        <f>=G1029*H1028</f>
      </c>
    </row>
    <row collapsed="false" customFormat="false" customHeight="false" hidden="false" ht="12.1" outlineLevel="0" r="1030">
      <c r="A1030" s="13" t="n">
        <v>45845</v>
      </c>
      <c r="B1030" s="6" t="n">
        <v>-19.11</v>
      </c>
      <c r="C1030" s="6" t="n">
        <v>-19.11</v>
      </c>
      <c r="D1030" s="16" t="s">
        <v>743</v>
      </c>
      <c r="E1030" s="16"/>
      <c r="F1030" s="16"/>
      <c r="G1030" s="6" t="s">
        <f>=A1030-A1029</f>
      </c>
      <c r="H1030" s="6" t="s">
        <f>=B1030+H1029</f>
      </c>
      <c r="I1030" s="6" t="s">
        <f>=G1030*H1029</f>
      </c>
    </row>
    <row collapsed="false" customFormat="false" customHeight="false" hidden="false" ht="12.1" outlineLevel="0" r="1031">
      <c r="A1031" s="13" t="n">
        <v>45845</v>
      </c>
      <c r="B1031" s="6" t="n">
        <v>-700</v>
      </c>
      <c r="C1031" s="6" t="n">
        <v>-700</v>
      </c>
      <c r="D1031" s="16" t="s">
        <v>786</v>
      </c>
      <c r="E1031" s="16"/>
      <c r="F1031" s="16"/>
      <c r="G1031" s="6" t="s">
        <f>=A1031-A1030</f>
      </c>
      <c r="H1031" s="6" t="s">
        <f>=B1031+H1030</f>
      </c>
      <c r="I1031" s="6" t="s">
        <f>=G1031*H1030</f>
      </c>
    </row>
    <row collapsed="false" customFormat="false" customHeight="false" hidden="false" ht="12.1" outlineLevel="0" r="1032">
      <c r="A1032" s="13" t="n">
        <v>45846</v>
      </c>
      <c r="B1032" s="6" t="n">
        <v>-18.76</v>
      </c>
      <c r="C1032" s="6" t="n">
        <v>-18.76</v>
      </c>
      <c r="D1032" s="16" t="s">
        <v>718</v>
      </c>
      <c r="E1032" s="16"/>
      <c r="F1032" s="16"/>
      <c r="G1032" s="6" t="s">
        <f>=A1032-A1031</f>
      </c>
      <c r="H1032" s="6" t="s">
        <f>=B1032+H1031</f>
      </c>
      <c r="I1032" s="6" t="s">
        <f>=G1032*H1031</f>
      </c>
    </row>
    <row collapsed="false" customFormat="false" customHeight="false" hidden="false" ht="12.1" outlineLevel="0" r="1033">
      <c r="A1033" s="13" t="n">
        <v>45846.420960648</v>
      </c>
      <c r="B1033" s="6" t="n">
        <v>3.28</v>
      </c>
      <c r="C1033" s="6" t="n">
        <v>3.28</v>
      </c>
      <c r="D1033" s="16" t="s">
        <v>787</v>
      </c>
      <c r="E1033" s="16"/>
      <c r="F1033" s="16"/>
      <c r="G1033" s="6" t="s">
        <f>=A1033-A1032</f>
      </c>
      <c r="H1033" s="6" t="s">
        <f>=B1033+H1032</f>
      </c>
      <c r="I1033" s="6" t="s">
        <f>=G1033*H1032</f>
      </c>
    </row>
    <row collapsed="false" customFormat="false" customHeight="false" hidden="false" ht="12.1" outlineLevel="0" r="1034">
      <c r="A1034" s="13" t="n">
        <v>45846.445613426</v>
      </c>
      <c r="B1034" s="6" t="n">
        <v>44.88</v>
      </c>
      <c r="C1034" s="6" t="n">
        <v>44.88</v>
      </c>
      <c r="D1034" s="16" t="s">
        <v>788</v>
      </c>
      <c r="E1034" s="16"/>
      <c r="F1034" s="16"/>
      <c r="G1034" s="6" t="s">
        <f>=A1034-A1033</f>
      </c>
      <c r="H1034" s="6" t="s">
        <f>=B1034+H1033</f>
      </c>
      <c r="I1034" s="6" t="s">
        <f>=G1034*H1033</f>
      </c>
    </row>
    <row collapsed="false" customFormat="false" customHeight="false" hidden="false" ht="12.1" outlineLevel="0" r="1035">
      <c r="A1035" s="13" t="n">
        <v>45846.465601852</v>
      </c>
      <c r="B1035" s="6" t="n">
        <v>19.11</v>
      </c>
      <c r="C1035" s="6" t="n">
        <v>19.11</v>
      </c>
      <c r="D1035" s="16" t="s">
        <v>748</v>
      </c>
      <c r="E1035" s="16"/>
      <c r="F1035" s="16"/>
      <c r="G1035" s="6" t="s">
        <f>=A1035-A1034</f>
      </c>
      <c r="H1035" s="6" t="s">
        <f>=B1035+H1034</f>
      </c>
      <c r="I1035" s="6" t="s">
        <f>=G1035*H1034</f>
      </c>
    </row>
    <row collapsed="false" customFormat="false" customHeight="false" hidden="false" ht="12.1" outlineLevel="0" r="1036">
      <c r="A1036" s="13" t="n">
        <v>45847</v>
      </c>
      <c r="B1036" s="6" t="n">
        <v>18.76</v>
      </c>
      <c r="C1036" s="6" t="n">
        <v>18.76</v>
      </c>
      <c r="D1036" s="16" t="s">
        <v>745</v>
      </c>
      <c r="E1036" s="16"/>
      <c r="F1036" s="16"/>
      <c r="G1036" s="6" t="s">
        <f>=A1036-A1035</f>
      </c>
      <c r="H1036" s="6" t="s">
        <f>=B1036+H1035</f>
      </c>
      <c r="I1036" s="6" t="s">
        <f>=G1036*H1035</f>
      </c>
    </row>
    <row collapsed="false" customFormat="false" customHeight="false" hidden="false" ht="12.1" outlineLevel="0" r="1037">
      <c r="A1037" s="13" t="n">
        <v>45848</v>
      </c>
      <c r="B1037" s="6" t="n">
        <v>-783.3</v>
      </c>
      <c r="C1037" s="6" t="n">
        <v>-783.3</v>
      </c>
      <c r="D1037" s="16" t="s">
        <v>789</v>
      </c>
      <c r="E1037" s="16"/>
      <c r="F1037" s="16"/>
      <c r="G1037" s="6" t="s">
        <f>=A1037-A1036</f>
      </c>
      <c r="H1037" s="6" t="s">
        <f>=B1037+H1036</f>
      </c>
      <c r="I1037" s="6" t="s">
        <f>=G1037*H1036</f>
      </c>
    </row>
    <row collapsed="false" customFormat="false" customHeight="false" hidden="false" ht="12.1" outlineLevel="0" r="1038">
      <c r="A1038" s="13" t="n">
        <v>45849</v>
      </c>
      <c r="B1038" s="6" t="n">
        <v>-1279</v>
      </c>
      <c r="C1038" s="6" t="n">
        <v>-1279</v>
      </c>
      <c r="D1038" s="16" t="s">
        <v>790</v>
      </c>
      <c r="E1038" s="16"/>
      <c r="F1038" s="16"/>
      <c r="G1038" s="6" t="s">
        <f>=A1038-A1037</f>
      </c>
      <c r="H1038" s="6" t="s">
        <f>=B1038+H1037</f>
      </c>
      <c r="I1038" s="6" t="s">
        <f>=G1038*H1037</f>
      </c>
    </row>
    <row collapsed="false" customFormat="false" customHeight="false" hidden="false" ht="12.1" outlineLevel="0" r="1039">
      <c r="A1039" s="13" t="n">
        <v>45853</v>
      </c>
      <c r="B1039" s="6" t="n">
        <v>-49.86</v>
      </c>
      <c r="C1039" s="6" t="n">
        <v>-49.86</v>
      </c>
      <c r="D1039" s="16" t="s">
        <v>791</v>
      </c>
      <c r="E1039" s="16"/>
      <c r="F1039" s="16"/>
      <c r="G1039" s="6" t="s">
        <f>=A1039-A1038</f>
      </c>
      <c r="H1039" s="6" t="s">
        <f>=B1039+H1038</f>
      </c>
      <c r="I1039" s="6" t="s">
        <f>=G1039*H1038</f>
      </c>
    </row>
    <row collapsed="false" customFormat="false" customHeight="false" hidden="false" ht="12.1" outlineLevel="0" r="1040">
      <c r="A1040" s="13" t="n">
        <v>45853</v>
      </c>
      <c r="B1040" s="6" t="n">
        <v>-2000</v>
      </c>
      <c r="C1040" s="6" t="n">
        <v>-2000</v>
      </c>
      <c r="D1040" s="16" t="s">
        <v>792</v>
      </c>
      <c r="E1040" s="16"/>
      <c r="F1040" s="16"/>
      <c r="G1040" s="6" t="s">
        <f>=A1040-A1039</f>
      </c>
      <c r="H1040" s="6" t="s">
        <f>=B1040+H1039</f>
      </c>
      <c r="I1040" s="6" t="s">
        <f>=G1040*H1039</f>
      </c>
    </row>
    <row collapsed="false" customFormat="false" customHeight="false" hidden="false" ht="12.1" outlineLevel="0" r="1041">
      <c r="A1041" s="13" t="n">
        <v>45854</v>
      </c>
      <c r="B1041" s="6" t="n">
        <v>-26.18</v>
      </c>
      <c r="C1041" s="6" t="n">
        <v>-26.18</v>
      </c>
      <c r="D1041" s="16" t="s">
        <v>626</v>
      </c>
      <c r="E1041" s="16"/>
      <c r="F1041" s="16"/>
      <c r="G1041" s="6" t="s">
        <f>=A1041-A1040</f>
      </c>
      <c r="H1041" s="6" t="s">
        <f>=B1041+H1040</f>
      </c>
      <c r="I1041" s="6" t="s">
        <f>=G1041*H1040</f>
      </c>
    </row>
    <row collapsed="false" customFormat="false" customHeight="false" hidden="false" ht="12.1" outlineLevel="0" r="1042">
      <c r="A1042" s="13" t="n">
        <v>45854</v>
      </c>
      <c r="B1042" s="6" t="n">
        <v>-44.88</v>
      </c>
      <c r="C1042" s="6" t="n">
        <v>-44.88</v>
      </c>
      <c r="D1042" s="16" t="s">
        <v>496</v>
      </c>
      <c r="E1042" s="16"/>
      <c r="F1042" s="16"/>
      <c r="G1042" s="6" t="s">
        <f>=A1042-A1041</f>
      </c>
      <c r="H1042" s="6" t="s">
        <f>=B1042+H1041</f>
      </c>
      <c r="I1042" s="6" t="s">
        <f>=G1042*H1041</f>
      </c>
    </row>
    <row collapsed="false" customFormat="false" customHeight="false" hidden="false" ht="12.1" outlineLevel="0" r="1043">
      <c r="A1043" s="13" t="n">
        <v>45854.444583333</v>
      </c>
      <c r="B1043" s="6" t="n">
        <v>49.86</v>
      </c>
      <c r="C1043" s="6" t="n">
        <v>49.86</v>
      </c>
      <c r="D1043" s="16" t="s">
        <v>727</v>
      </c>
      <c r="E1043" s="16"/>
      <c r="F1043" s="16"/>
      <c r="G1043" s="6" t="s">
        <f>=A1043-A1042</f>
      </c>
      <c r="H1043" s="6" t="s">
        <f>=B1043+H1042</f>
      </c>
      <c r="I1043" s="6" t="s">
        <f>=G1043*H1042</f>
      </c>
    </row>
    <row collapsed="false" customFormat="false" customHeight="false" hidden="false" ht="12.1" outlineLevel="0" r="1044">
      <c r="A1044" s="13" t="n">
        <v>45855</v>
      </c>
      <c r="B1044" s="6" t="n">
        <v>-90</v>
      </c>
      <c r="C1044" s="6" t="n">
        <v>-90</v>
      </c>
      <c r="D1044" s="16" t="s">
        <v>793</v>
      </c>
      <c r="E1044" s="16"/>
      <c r="F1044" s="16"/>
      <c r="G1044" s="6" t="s">
        <f>=A1044-A1043</f>
      </c>
      <c r="H1044" s="6" t="s">
        <f>=B1044+H1043</f>
      </c>
      <c r="I1044" s="6" t="s">
        <f>=G1044*H1043</f>
      </c>
    </row>
    <row collapsed="false" customFormat="false" customHeight="false" hidden="false" ht="12.1" outlineLevel="0" r="1045">
      <c r="A1045" s="13" t="n">
        <v>45855</v>
      </c>
      <c r="B1045" s="6" t="n">
        <v>-850</v>
      </c>
      <c r="C1045" s="6" t="n">
        <v>-850</v>
      </c>
      <c r="D1045" s="16" t="s">
        <v>794</v>
      </c>
      <c r="E1045" s="16"/>
      <c r="F1045" s="16"/>
      <c r="G1045" s="6" t="s">
        <f>=A1045-A1044</f>
      </c>
      <c r="H1045" s="6" t="s">
        <f>=B1045+H1044</f>
      </c>
      <c r="I1045" s="6" t="s">
        <f>=G1045*H1044</f>
      </c>
    </row>
    <row collapsed="false" customFormat="false" customHeight="false" hidden="false" ht="12.1" outlineLevel="0" r="1046">
      <c r="A1046" s="13" t="n">
        <v>45855</v>
      </c>
      <c r="B1046" s="6" t="n">
        <v>-50.86</v>
      </c>
      <c r="C1046" s="6" t="n">
        <v>-50.86</v>
      </c>
      <c r="D1046" s="16" t="s">
        <v>795</v>
      </c>
      <c r="E1046" s="16"/>
      <c r="F1046" s="16"/>
      <c r="G1046" s="6" t="s">
        <f>=A1046-A1045</f>
      </c>
      <c r="H1046" s="6" t="s">
        <f>=B1046+H1045</f>
      </c>
      <c r="I1046" s="6" t="s">
        <f>=G1046*H1045</f>
      </c>
    </row>
    <row collapsed="false" customFormat="false" customHeight="false" hidden="false" ht="12.1" outlineLevel="0" r="1047">
      <c r="A1047" s="13" t="n">
        <v>45855</v>
      </c>
      <c r="B1047" s="6" t="n">
        <v>-231</v>
      </c>
      <c r="C1047" s="6" t="n">
        <v>-231</v>
      </c>
      <c r="D1047" s="16" t="s">
        <v>796</v>
      </c>
      <c r="E1047" s="16"/>
      <c r="F1047" s="16"/>
      <c r="G1047" s="6" t="s">
        <f>=A1047-A1046</f>
      </c>
      <c r="H1047" s="6" t="s">
        <f>=B1047+H1046</f>
      </c>
      <c r="I1047" s="6" t="s">
        <f>=G1047*H1046</f>
      </c>
    </row>
    <row collapsed="false" customFormat="false" customHeight="false" hidden="false" ht="12.1" outlineLevel="0" r="1048">
      <c r="A1048" s="13" t="n">
        <v>45855</v>
      </c>
      <c r="B1048" s="6" t="n">
        <v>-18.68</v>
      </c>
      <c r="C1048" s="6" t="n">
        <v>-18.68</v>
      </c>
      <c r="D1048" s="16" t="s">
        <v>797</v>
      </c>
      <c r="E1048" s="16"/>
      <c r="F1048" s="16"/>
      <c r="G1048" s="6" t="s">
        <f>=A1048-A1047</f>
      </c>
      <c r="H1048" s="6" t="s">
        <f>=B1048+H1047</f>
      </c>
      <c r="I1048" s="6" t="s">
        <f>=G1048*H1047</f>
      </c>
    </row>
    <row collapsed="false" customFormat="false" customHeight="false" hidden="false" ht="12.1" outlineLevel="0" r="1049">
      <c r="A1049" s="13" t="n">
        <v>45855</v>
      </c>
      <c r="B1049" s="6" t="n">
        <v>-86.26</v>
      </c>
      <c r="C1049" s="6" t="n">
        <v>-86.26</v>
      </c>
      <c r="D1049" s="16" t="s">
        <v>798</v>
      </c>
      <c r="E1049" s="16"/>
      <c r="F1049" s="16"/>
      <c r="G1049" s="6" t="s">
        <f>=A1049-A1048</f>
      </c>
      <c r="H1049" s="6" t="s">
        <f>=B1049+H1048</f>
      </c>
      <c r="I1049" s="6" t="s">
        <f>=G1049*H1048</f>
      </c>
    </row>
    <row collapsed="false" customFormat="false" customHeight="false" hidden="false" ht="12.1" outlineLevel="0" r="1050">
      <c r="A1050" s="13" t="n">
        <v>45855.418993056</v>
      </c>
      <c r="B1050" s="6" t="n">
        <v>44.88</v>
      </c>
      <c r="C1050" s="6" t="n">
        <v>44.88</v>
      </c>
      <c r="D1050" s="16" t="s">
        <v>497</v>
      </c>
      <c r="E1050" s="16"/>
      <c r="F1050" s="16"/>
      <c r="G1050" s="6" t="s">
        <f>=A1050-A1049</f>
      </c>
      <c r="H1050" s="6" t="s">
        <f>=B1050+H1049</f>
      </c>
      <c r="I1050" s="6" t="s">
        <f>=G1050*H1049</f>
      </c>
    </row>
    <row collapsed="false" customFormat="false" customHeight="false" hidden="false" ht="12.1" outlineLevel="0" r="1051">
      <c r="A1051" s="13" t="n">
        <v>45855.445023148</v>
      </c>
      <c r="B1051" s="6" t="n">
        <v>26.18</v>
      </c>
      <c r="C1051" s="6" t="n">
        <v>26.18</v>
      </c>
      <c r="D1051" s="16" t="s">
        <v>629</v>
      </c>
      <c r="E1051" s="16"/>
      <c r="F1051" s="16"/>
      <c r="G1051" s="6" t="s">
        <f>=A1051-A1050</f>
      </c>
      <c r="H1051" s="6" t="s">
        <f>=B1051+H1050</f>
      </c>
      <c r="I1051" s="6" t="s">
        <f>=G1051*H1050</f>
      </c>
    </row>
    <row collapsed="false" customFormat="false" customHeight="false" hidden="false" ht="12.1" outlineLevel="0" r="1052">
      <c r="A1052" s="13" t="n">
        <v>45855.475</v>
      </c>
      <c r="B1052" s="6" t="n">
        <v>2000</v>
      </c>
      <c r="C1052" s="6" t="n">
        <v>2000</v>
      </c>
      <c r="D1052" s="16" t="s">
        <v>799</v>
      </c>
      <c r="E1052" s="16"/>
      <c r="F1052" s="16"/>
      <c r="G1052" s="6" t="s">
        <f>=A1052-A1051</f>
      </c>
      <c r="H1052" s="6" t="s">
        <f>=B1052+H1051</f>
      </c>
      <c r="I1052" s="6" t="s">
        <f>=G1052*H1051</f>
      </c>
    </row>
    <row collapsed="false" customFormat="false" customHeight="false" hidden="false" ht="12.1" outlineLevel="0" r="1053">
      <c r="A1053" s="13" t="n">
        <v>45856</v>
      </c>
      <c r="B1053" s="6" t="n">
        <v>-6968</v>
      </c>
      <c r="C1053" s="6" t="n">
        <v>-6968</v>
      </c>
      <c r="D1053" s="16" t="s">
        <v>800</v>
      </c>
      <c r="E1053" s="16"/>
      <c r="F1053" s="16"/>
      <c r="G1053" s="6" t="s">
        <f>=A1053-A1052</f>
      </c>
      <c r="H1053" s="6" t="s">
        <f>=B1053+H1052</f>
      </c>
      <c r="I1053" s="6" t="s">
        <f>=G1053*H1052</f>
      </c>
    </row>
    <row collapsed="false" customFormat="false" customHeight="false" hidden="false" ht="12.1" outlineLevel="0" r="1054">
      <c r="A1054" s="13" t="n">
        <v>45856</v>
      </c>
      <c r="B1054" s="6" t="n">
        <v>-316.2</v>
      </c>
      <c r="C1054" s="6" t="n">
        <v>-316.2</v>
      </c>
      <c r="D1054" s="16" t="s">
        <v>801</v>
      </c>
      <c r="E1054" s="16"/>
      <c r="F1054" s="16"/>
      <c r="G1054" s="6" t="s">
        <f>=A1054-A1053</f>
      </c>
      <c r="H1054" s="6" t="s">
        <f>=B1054+H1053</f>
      </c>
      <c r="I1054" s="6" t="s">
        <f>=G1054*H1053</f>
      </c>
    </row>
    <row collapsed="false" customFormat="false" customHeight="false" hidden="false" ht="12.1" outlineLevel="0" r="1055">
      <c r="A1055" s="13" t="n">
        <v>45856</v>
      </c>
      <c r="B1055" s="6" t="n">
        <v>-1045.2</v>
      </c>
      <c r="C1055" s="6" t="n">
        <v>-1045.2</v>
      </c>
      <c r="D1055" s="16" t="s">
        <v>802</v>
      </c>
      <c r="E1055" s="16"/>
      <c r="F1055" s="16"/>
      <c r="G1055" s="6" t="s">
        <f>=A1055-A1054</f>
      </c>
      <c r="H1055" s="6" t="s">
        <f>=B1055+H1054</f>
      </c>
      <c r="I1055" s="6" t="s">
        <f>=G1055*H1054</f>
      </c>
    </row>
    <row collapsed="false" customFormat="false" customHeight="false" hidden="false" ht="12.1" outlineLevel="0" r="1056">
      <c r="A1056" s="13" t="n">
        <v>45856.47162037</v>
      </c>
      <c r="B1056" s="6" t="n">
        <v>18.68</v>
      </c>
      <c r="C1056" s="6" t="n">
        <v>18.68</v>
      </c>
      <c r="D1056" s="16" t="s">
        <v>726</v>
      </c>
      <c r="E1056" s="16"/>
      <c r="F1056" s="16"/>
      <c r="G1056" s="6" t="s">
        <f>=A1056-A1055</f>
      </c>
      <c r="H1056" s="6" t="s">
        <f>=B1056+H1055</f>
      </c>
      <c r="I1056" s="6" t="s">
        <f>=G1056*H1055</f>
      </c>
    </row>
    <row collapsed="false" customFormat="false" customHeight="false" hidden="false" ht="12.1" outlineLevel="0" r="1057">
      <c r="A1057" s="13" t="n">
        <v>45856.473460648</v>
      </c>
      <c r="B1057" s="6" t="n">
        <v>86.26</v>
      </c>
      <c r="C1057" s="6" t="n">
        <v>86.26</v>
      </c>
      <c r="D1057" s="16" t="s">
        <v>803</v>
      </c>
      <c r="E1057" s="16"/>
      <c r="F1057" s="16"/>
      <c r="G1057" s="6" t="s">
        <f>=A1057-A1056</f>
      </c>
      <c r="H1057" s="6" t="s">
        <f>=B1057+H1056</f>
      </c>
      <c r="I1057" s="6" t="s">
        <f>=G1057*H1056</f>
      </c>
    </row>
    <row collapsed="false" customFormat="false" customHeight="false" hidden="false" ht="12.1" outlineLevel="0" r="1058">
      <c r="A1058" s="13" t="n">
        <v>45856.480046296</v>
      </c>
      <c r="B1058" s="6" t="n">
        <v>50.86</v>
      </c>
      <c r="C1058" s="6" t="n">
        <v>50.86</v>
      </c>
      <c r="D1058" s="16" t="s">
        <v>804</v>
      </c>
      <c r="E1058" s="16"/>
      <c r="F1058" s="16"/>
      <c r="G1058" s="6" t="s">
        <f>=A1058-A1057</f>
      </c>
      <c r="H1058" s="6" t="s">
        <f>=B1058+H1057</f>
      </c>
      <c r="I1058" s="6" t="s">
        <f>=G1058*H1057</f>
      </c>
    </row>
    <row collapsed="false" customFormat="false" customHeight="false" hidden="false" ht="12.1" outlineLevel="0" r="1059">
      <c r="A1059" s="13" t="n">
        <v>45859</v>
      </c>
      <c r="B1059" s="6" t="n">
        <v>-20.96</v>
      </c>
      <c r="C1059" s="6" t="n">
        <v>-20.96</v>
      </c>
      <c r="D1059" s="16" t="s">
        <v>757</v>
      </c>
      <c r="E1059" s="16"/>
      <c r="F1059" s="16"/>
      <c r="G1059" s="6" t="s">
        <f>=A1059-A1058</f>
      </c>
      <c r="H1059" s="6" t="s">
        <f>=B1059+H1058</f>
      </c>
      <c r="I1059" s="6" t="s">
        <f>=G1059*H1058</f>
      </c>
    </row>
    <row collapsed="false" customFormat="false" customHeight="false" hidden="false" ht="12.1" outlineLevel="0" r="1060">
      <c r="A1060" s="13" t="n">
        <v>45859</v>
      </c>
      <c r="B1060" s="6" t="n">
        <v>-108.7</v>
      </c>
      <c r="C1060" s="6" t="n">
        <v>-108.7</v>
      </c>
      <c r="D1060" s="16" t="s">
        <v>805</v>
      </c>
      <c r="E1060" s="16"/>
      <c r="F1060" s="16"/>
      <c r="G1060" s="6" t="s">
        <f>=A1060-A1059</f>
      </c>
      <c r="H1060" s="6" t="s">
        <f>=B1060+H1059</f>
      </c>
      <c r="I1060" s="6" t="s">
        <f>=G1060*H1059</f>
      </c>
    </row>
    <row collapsed="false" customFormat="false" customHeight="false" hidden="false" ht="12.1" outlineLevel="0" r="1061">
      <c r="A1061" s="13" t="n">
        <v>45859</v>
      </c>
      <c r="B1061" s="6" t="n">
        <v>-165</v>
      </c>
      <c r="C1061" s="6" t="n">
        <v>-165</v>
      </c>
      <c r="D1061" s="16" t="s">
        <v>675</v>
      </c>
      <c r="E1061" s="16"/>
      <c r="F1061" s="16"/>
      <c r="G1061" s="6" t="s">
        <f>=A1061-A1060</f>
      </c>
      <c r="H1061" s="6" t="s">
        <f>=B1061+H1060</f>
      </c>
      <c r="I1061" s="6" t="s">
        <f>=G1061*H1060</f>
      </c>
    </row>
    <row collapsed="false" customFormat="false" customHeight="false" hidden="false" ht="12.1" outlineLevel="0" r="1062">
      <c r="A1062" s="13" t="n">
        <v>45859</v>
      </c>
      <c r="B1062" s="6" t="n">
        <v>231</v>
      </c>
      <c r="C1062" s="6" t="n">
        <v>231</v>
      </c>
      <c r="D1062" s="16" t="s">
        <v>758</v>
      </c>
      <c r="E1062" s="16"/>
      <c r="F1062" s="16"/>
      <c r="G1062" s="6" t="s">
        <f>=A1062-A1061</f>
      </c>
      <c r="H1062" s="6" t="s">
        <f>=B1062+H1061</f>
      </c>
      <c r="I1062" s="6" t="s">
        <f>=G1062*H1061</f>
      </c>
    </row>
    <row collapsed="false" customFormat="false" customHeight="false" hidden="false" ht="12.1" outlineLevel="0" r="1063">
      <c r="A1063" s="13" t="n">
        <v>45860</v>
      </c>
      <c r="B1063" s="6" t="n">
        <v>-22.97</v>
      </c>
      <c r="C1063" s="6" t="n">
        <v>-22.97</v>
      </c>
      <c r="D1063" s="16" t="s">
        <v>806</v>
      </c>
      <c r="E1063" s="16"/>
      <c r="F1063" s="16"/>
      <c r="G1063" s="6" t="s">
        <f>=A1063-A1062</f>
      </c>
      <c r="H1063" s="6" t="s">
        <f>=B1063+H1062</f>
      </c>
      <c r="I1063" s="6" t="s">
        <f>=G1063*H1062</f>
      </c>
    </row>
    <row collapsed="false" customFormat="false" customHeight="false" hidden="false" ht="12.1" outlineLevel="0" r="1064">
      <c r="A1064" s="13" t="n">
        <v>45860</v>
      </c>
      <c r="B1064" s="6" t="n">
        <v>-11.18</v>
      </c>
      <c r="C1064" s="6" t="n">
        <v>-11.18</v>
      </c>
      <c r="D1064" s="16" t="s">
        <v>613</v>
      </c>
      <c r="E1064" s="16"/>
      <c r="F1064" s="16"/>
      <c r="G1064" s="6" t="s">
        <f>=A1064-A1063</f>
      </c>
      <c r="H1064" s="6" t="s">
        <f>=B1064+H1063</f>
      </c>
      <c r="I1064" s="6" t="s">
        <f>=G1064*H1063</f>
      </c>
    </row>
    <row collapsed="false" customFormat="false" customHeight="false" hidden="false" ht="12.1" outlineLevel="0" r="1065">
      <c r="A1065" s="13" t="n">
        <v>45860.474861111</v>
      </c>
      <c r="B1065" s="6" t="n">
        <v>20.96</v>
      </c>
      <c r="C1065" s="6" t="n">
        <v>20.96</v>
      </c>
      <c r="D1065" s="16" t="s">
        <v>759</v>
      </c>
      <c r="E1065" s="16"/>
      <c r="F1065" s="16"/>
      <c r="G1065" s="6" t="s">
        <f>=A1065-A1064</f>
      </c>
      <c r="H1065" s="6" t="s">
        <f>=B1065+H1064</f>
      </c>
      <c r="I1065" s="6" t="s">
        <f>=G1065*H1064</f>
      </c>
    </row>
    <row collapsed="false" customFormat="false" customHeight="false" hidden="false" ht="12.1" outlineLevel="0" r="1066">
      <c r="A1066" s="13" t="n">
        <v>45860.488263889</v>
      </c>
      <c r="B1066" s="6" t="n">
        <v>108.7</v>
      </c>
      <c r="C1066" s="6" t="n">
        <v>108.7</v>
      </c>
      <c r="D1066" s="16" t="s">
        <v>676</v>
      </c>
      <c r="E1066" s="16"/>
      <c r="F1066" s="16"/>
      <c r="G1066" s="6" t="s">
        <f>=A1066-A1065</f>
      </c>
      <c r="H1066" s="6" t="s">
        <f>=B1066+H1065</f>
      </c>
      <c r="I1066" s="6" t="s">
        <f>=G1066*H1065</f>
      </c>
    </row>
    <row collapsed="false" customFormat="false" customHeight="false" hidden="false" ht="12.1" outlineLevel="0" r="1067">
      <c r="A1067" s="13" t="n">
        <v>45860.664409722</v>
      </c>
      <c r="B1067" s="6" t="n">
        <v>700</v>
      </c>
      <c r="C1067" s="6" t="n">
        <v>700</v>
      </c>
      <c r="D1067" s="16" t="s">
        <v>589</v>
      </c>
      <c r="E1067" s="16"/>
      <c r="F1067" s="16"/>
      <c r="G1067" s="6" t="s">
        <f>=A1067-A1066</f>
      </c>
      <c r="H1067" s="6" t="s">
        <f>=B1067+H1066</f>
      </c>
      <c r="I1067" s="6" t="s">
        <f>=G1067*H1066</f>
      </c>
    </row>
    <row collapsed="false" customFormat="false" customHeight="false" hidden="false" ht="12.1" outlineLevel="0" r="1068">
      <c r="A1068" s="13" t="n">
        <v>45861</v>
      </c>
      <c r="B1068" s="6" t="n">
        <v>-43.38</v>
      </c>
      <c r="C1068" s="6" t="n">
        <v>-43.38</v>
      </c>
      <c r="D1068" s="16" t="s">
        <v>439</v>
      </c>
      <c r="E1068" s="16"/>
      <c r="F1068" s="16"/>
      <c r="G1068" s="6" t="s">
        <f>=A1068-A1067</f>
      </c>
      <c r="H1068" s="6" t="s">
        <f>=B1068+H1067</f>
      </c>
      <c r="I1068" s="6" t="s">
        <f>=G1068*H1067</f>
      </c>
    </row>
    <row collapsed="false" customFormat="false" customHeight="false" hidden="false" ht="12.1" outlineLevel="0" r="1069">
      <c r="A1069" s="13" t="n">
        <v>45861</v>
      </c>
      <c r="B1069" s="6" t="n">
        <v>-54.58</v>
      </c>
      <c r="C1069" s="6" t="n">
        <v>-54.58</v>
      </c>
      <c r="D1069" s="16" t="s">
        <v>807</v>
      </c>
      <c r="E1069" s="16"/>
      <c r="F1069" s="16"/>
      <c r="G1069" s="6" t="s">
        <f>=A1069-A1068</f>
      </c>
      <c r="H1069" s="6" t="s">
        <f>=B1069+H1068</f>
      </c>
      <c r="I1069" s="6" t="s">
        <f>=G1069*H1068</f>
      </c>
    </row>
    <row collapsed="false" customFormat="false" customHeight="false" hidden="false" ht="12.1" outlineLevel="0" r="1070">
      <c r="A1070" s="13" t="n">
        <v>45861.489027778</v>
      </c>
      <c r="B1070" s="6" t="n">
        <v>22.97</v>
      </c>
      <c r="C1070" s="6" t="n">
        <v>22.97</v>
      </c>
      <c r="D1070" s="16" t="s">
        <v>502</v>
      </c>
      <c r="E1070" s="16"/>
      <c r="F1070" s="16"/>
      <c r="G1070" s="6" t="s">
        <f>=A1070-A1069</f>
      </c>
      <c r="H1070" s="6" t="s">
        <f>=B1070+H1069</f>
      </c>
      <c r="I1070" s="6" t="s">
        <f>=G1070*H1069</f>
      </c>
    </row>
    <row collapsed="false" customFormat="false" customHeight="false" hidden="false" ht="12.1" outlineLevel="0" r="1071">
      <c r="A1071" s="13" t="n">
        <v>45861.489375</v>
      </c>
      <c r="B1071" s="6" t="n">
        <v>165</v>
      </c>
      <c r="C1071" s="6" t="n">
        <v>165</v>
      </c>
      <c r="D1071" s="16" t="s">
        <v>678</v>
      </c>
      <c r="E1071" s="16"/>
      <c r="F1071" s="16"/>
      <c r="G1071" s="6" t="s">
        <f>=A1071-A1070</f>
      </c>
      <c r="H1071" s="6" t="s">
        <f>=B1071+H1070</f>
      </c>
      <c r="I1071" s="6" t="s">
        <f>=G1071*H1070</f>
      </c>
    </row>
    <row collapsed="false" customFormat="false" customHeight="false" hidden="false" ht="12.1" outlineLevel="0" r="1072">
      <c r="A1072" s="13" t="n">
        <v>45861.597002315</v>
      </c>
      <c r="B1072" s="6" t="n">
        <v>11.18</v>
      </c>
      <c r="C1072" s="6" t="n">
        <v>11.18</v>
      </c>
      <c r="D1072" s="16" t="s">
        <v>616</v>
      </c>
      <c r="E1072" s="16"/>
      <c r="F1072" s="16"/>
      <c r="G1072" s="6" t="s">
        <f>=A1072-A1071</f>
      </c>
      <c r="H1072" s="6" t="s">
        <f>=B1072+H1071</f>
      </c>
      <c r="I1072" s="6" t="s">
        <f>=G1072*H1071</f>
      </c>
    </row>
    <row collapsed="false" customFormat="false" customHeight="false" hidden="false" ht="12.1" outlineLevel="0" r="1073">
      <c r="A1073" s="13" t="n">
        <v>45862</v>
      </c>
      <c r="B1073" s="6" t="n">
        <v>-34.68</v>
      </c>
      <c r="C1073" s="6" t="n">
        <v>-34.68</v>
      </c>
      <c r="D1073" s="16" t="s">
        <v>808</v>
      </c>
      <c r="E1073" s="16"/>
      <c r="F1073" s="16"/>
      <c r="G1073" s="6" t="s">
        <f>=A1073-A1072</f>
      </c>
      <c r="H1073" s="6" t="s">
        <f>=B1073+H1072</f>
      </c>
      <c r="I1073" s="6" t="s">
        <f>=G1073*H1072</f>
      </c>
    </row>
    <row collapsed="false" customFormat="false" customHeight="false" hidden="false" ht="12.1" outlineLevel="0" r="1074">
      <c r="A1074" s="13" t="n">
        <v>45862.503344907</v>
      </c>
      <c r="B1074" s="6" t="n">
        <v>54.58</v>
      </c>
      <c r="C1074" s="6" t="n">
        <v>54.58</v>
      </c>
      <c r="D1074" s="16" t="s">
        <v>473</v>
      </c>
      <c r="E1074" s="16"/>
      <c r="F1074" s="16"/>
      <c r="G1074" s="6" t="s">
        <f>=A1074-A1073</f>
      </c>
      <c r="H1074" s="6" t="s">
        <f>=B1074+H1073</f>
      </c>
      <c r="I1074" s="6" t="s">
        <f>=G1074*H1073</f>
      </c>
    </row>
    <row collapsed="false" customFormat="false" customHeight="false" hidden="false" ht="12.1" outlineLevel="0" r="1075">
      <c r="A1075" s="13" t="n">
        <v>45862.508252315</v>
      </c>
      <c r="B1075" s="6" t="n">
        <v>43.38</v>
      </c>
      <c r="C1075" s="6" t="n">
        <v>43.38</v>
      </c>
      <c r="D1075" s="16" t="s">
        <v>442</v>
      </c>
      <c r="E1075" s="16"/>
      <c r="F1075" s="16"/>
      <c r="G1075" s="6" t="s">
        <f>=A1075-A1074</f>
      </c>
      <c r="H1075" s="6" t="s">
        <f>=B1075+H1074</f>
      </c>
      <c r="I1075" s="6" t="s">
        <f>=G1075*H1074</f>
      </c>
    </row>
    <row collapsed="false" customFormat="false" customHeight="false" hidden="false" ht="12.1" outlineLevel="0" r="1076">
      <c r="A1076" s="13" t="n">
        <v>45863.471875</v>
      </c>
      <c r="B1076" s="6" t="n">
        <v>34.68</v>
      </c>
      <c r="C1076" s="6" t="n">
        <v>34.68</v>
      </c>
      <c r="D1076" s="16" t="s">
        <v>590</v>
      </c>
      <c r="E1076" s="16"/>
      <c r="F1076" s="16"/>
      <c r="G1076" s="6" t="s">
        <f>=A1076-A1075</f>
      </c>
      <c r="H1076" s="6" t="s">
        <f>=B1076+H1075</f>
      </c>
      <c r="I1076" s="6" t="s">
        <f>=G1076*H1075</f>
      </c>
    </row>
    <row collapsed="false" customFormat="false" customHeight="false" hidden="false" ht="12.1" outlineLevel="0" r="1077">
      <c r="A1077" s="13" t="n">
        <v>45863.641655093</v>
      </c>
      <c r="B1077" s="6" t="n">
        <v>783.3</v>
      </c>
      <c r="C1077" s="6" t="n">
        <v>783.3</v>
      </c>
      <c r="D1077" s="16" t="s">
        <v>433</v>
      </c>
      <c r="E1077" s="16"/>
      <c r="F1077" s="16"/>
      <c r="G1077" s="6" t="s">
        <f>=A1077-A1076</f>
      </c>
      <c r="H1077" s="6" t="s">
        <f>=B1077+H1076</f>
      </c>
      <c r="I1077" s="6" t="s">
        <f>=G1077*H1076</f>
      </c>
    </row>
    <row collapsed="false" customFormat="false" customHeight="false" hidden="false" ht="12.1" outlineLevel="0" r="1078">
      <c r="A1078" s="13" t="n">
        <v>45863.651168981</v>
      </c>
      <c r="B1078" s="6" t="n">
        <v>1279</v>
      </c>
      <c r="C1078" s="6" t="n">
        <v>1279</v>
      </c>
      <c r="D1078" s="16" t="s">
        <v>809</v>
      </c>
      <c r="E1078" s="16"/>
      <c r="F1078" s="16"/>
      <c r="G1078" s="6" t="s">
        <f>=A1078-A1077</f>
      </c>
      <c r="H1078" s="6" t="s">
        <f>=B1078+H1077</f>
      </c>
      <c r="I1078" s="6" t="s">
        <f>=G1078*H1077</f>
      </c>
    </row>
    <row collapsed="false" customFormat="false" customHeight="false" hidden="false" ht="12.1" outlineLevel="0" r="1079">
      <c r="A1079" s="13" t="n">
        <v>45866</v>
      </c>
      <c r="B1079" s="6" t="n">
        <v>-19.48</v>
      </c>
      <c r="C1079" s="6" t="n">
        <v>-19.48</v>
      </c>
      <c r="D1079" s="16" t="s">
        <v>763</v>
      </c>
      <c r="E1079" s="16"/>
      <c r="F1079" s="16"/>
      <c r="G1079" s="6" t="s">
        <f>=A1079-A1078</f>
      </c>
      <c r="H1079" s="6" t="s">
        <f>=B1079+H1078</f>
      </c>
      <c r="I1079" s="6" t="s">
        <f>=G1079*H1078</f>
      </c>
    </row>
    <row collapsed="false" customFormat="false" customHeight="false" hidden="false" ht="12.1" outlineLevel="0" r="1080">
      <c r="A1080" s="13" t="n">
        <v>45867</v>
      </c>
      <c r="B1080" s="6" t="n">
        <v>-58.34</v>
      </c>
      <c r="C1080" s="6" t="n">
        <v>-58.34</v>
      </c>
      <c r="D1080" s="16" t="s">
        <v>635</v>
      </c>
      <c r="E1080" s="16"/>
      <c r="F1080" s="16"/>
      <c r="G1080" s="6" t="s">
        <f>=A1080-A1079</f>
      </c>
      <c r="H1080" s="6" t="s">
        <f>=B1080+H1079</f>
      </c>
      <c r="I1080" s="6" t="s">
        <f>=G1080*H1079</f>
      </c>
    </row>
    <row collapsed="false" customFormat="false" customHeight="false" hidden="false" ht="12.1" outlineLevel="0" r="1081">
      <c r="A1081" s="13" t="n">
        <v>45867</v>
      </c>
      <c r="B1081" s="6" t="n">
        <v>-28.22</v>
      </c>
      <c r="C1081" s="6" t="n">
        <v>-28.22</v>
      </c>
      <c r="D1081" s="16" t="s">
        <v>387</v>
      </c>
      <c r="E1081" s="16"/>
      <c r="F1081" s="16"/>
      <c r="G1081" s="6" t="s">
        <f>=A1081-A1080</f>
      </c>
      <c r="H1081" s="6" t="s">
        <f>=B1081+H1080</f>
      </c>
      <c r="I1081" s="6" t="s">
        <f>=G1081*H1080</f>
      </c>
    </row>
    <row collapsed="false" customFormat="false" customHeight="false" hidden="false" ht="12.1" outlineLevel="0" r="1082">
      <c r="A1082" s="13" t="n">
        <v>45867.575590278</v>
      </c>
      <c r="B1082" s="6" t="n">
        <v>19.48</v>
      </c>
      <c r="C1082" s="6" t="n">
        <v>19.48</v>
      </c>
      <c r="D1082" s="16" t="s">
        <v>764</v>
      </c>
      <c r="E1082" s="16"/>
      <c r="F1082" s="16"/>
      <c r="G1082" s="6" t="s">
        <f>=A1082-A1081</f>
      </c>
      <c r="H1082" s="6" t="s">
        <f>=B1082+H1081</f>
      </c>
      <c r="I1082" s="6" t="s">
        <f>=G1082*H1081</f>
      </c>
    </row>
    <row collapsed="false" customFormat="false" customHeight="false" hidden="false" ht="12.1" outlineLevel="0" r="1083">
      <c r="A1083" s="13" t="n">
        <v>45868</v>
      </c>
      <c r="B1083" s="6" t="n">
        <v>-137.64</v>
      </c>
      <c r="C1083" s="6" t="n">
        <v>-137.64</v>
      </c>
      <c r="D1083" s="16" t="s">
        <v>683</v>
      </c>
      <c r="E1083" s="16"/>
      <c r="F1083" s="16"/>
      <c r="G1083" s="6" t="s">
        <f>=A1083-A1082</f>
      </c>
      <c r="H1083" s="6" t="s">
        <f>=B1083+H1082</f>
      </c>
      <c r="I1083" s="6" t="s">
        <f>=G1083*H1082</f>
      </c>
    </row>
    <row collapsed="false" customFormat="false" customHeight="false" hidden="false" ht="12.1" outlineLevel="0" r="1084">
      <c r="A1084" s="13" t="n">
        <v>45868</v>
      </c>
      <c r="B1084" s="6" t="n">
        <v>-18.4</v>
      </c>
      <c r="C1084" s="6" t="n">
        <v>-18.4</v>
      </c>
      <c r="D1084" s="16" t="s">
        <v>810</v>
      </c>
      <c r="E1084" s="16"/>
      <c r="F1084" s="16"/>
      <c r="G1084" s="6" t="s">
        <f>=A1084-A1083</f>
      </c>
      <c r="H1084" s="6" t="s">
        <f>=B1084+H1083</f>
      </c>
      <c r="I1084" s="6" t="s">
        <f>=G1084*H1083</f>
      </c>
    </row>
    <row collapsed="false" customFormat="false" customHeight="false" hidden="false" ht="12.1" outlineLevel="0" r="1085">
      <c r="A1085" s="13" t="n">
        <v>45868</v>
      </c>
      <c r="B1085" s="6" t="n">
        <v>-943.02</v>
      </c>
      <c r="C1085" s="6" t="n">
        <v>-943.02</v>
      </c>
      <c r="D1085" s="16" t="s">
        <v>811</v>
      </c>
      <c r="E1085" s="16"/>
      <c r="F1085" s="16"/>
      <c r="G1085" s="6" t="s">
        <f>=A1085-A1084</f>
      </c>
      <c r="H1085" s="6" t="s">
        <f>=B1085+H1084</f>
      </c>
      <c r="I1085" s="6" t="s">
        <f>=G1085*H1084</f>
      </c>
    </row>
    <row collapsed="false" customFormat="false" customHeight="false" hidden="false" ht="12.1" outlineLevel="0" r="1086">
      <c r="A1086" s="13" t="n">
        <v>45868</v>
      </c>
      <c r="B1086" s="6" t="n">
        <v>-50.42</v>
      </c>
      <c r="C1086" s="6" t="n">
        <v>-50.42</v>
      </c>
      <c r="D1086" s="16" t="s">
        <v>812</v>
      </c>
      <c r="E1086" s="16"/>
      <c r="F1086" s="16"/>
      <c r="G1086" s="6" t="s">
        <f>=A1086-A1085</f>
      </c>
      <c r="H1086" s="6" t="s">
        <f>=B1086+H1085</f>
      </c>
      <c r="I1086" s="6" t="s">
        <f>=G1086*H1085</f>
      </c>
    </row>
    <row collapsed="false" customFormat="false" customHeight="false" hidden="false" ht="12.1" outlineLevel="0" r="1087">
      <c r="A1087" s="13" t="n">
        <v>45868.446041667</v>
      </c>
      <c r="B1087" s="6" t="n">
        <v>28.22</v>
      </c>
      <c r="C1087" s="6" t="n">
        <v>28.22</v>
      </c>
      <c r="D1087" s="16" t="s">
        <v>390</v>
      </c>
      <c r="E1087" s="16"/>
      <c r="F1087" s="16"/>
      <c r="G1087" s="6" t="s">
        <f>=A1087-A1086</f>
      </c>
      <c r="H1087" s="6" t="s">
        <f>=B1087+H1086</f>
      </c>
      <c r="I1087" s="6" t="s">
        <f>=G1087*H1086</f>
      </c>
    </row>
    <row collapsed="false" customFormat="false" customHeight="false" hidden="false" ht="12.1" outlineLevel="0" r="1088">
      <c r="A1088" s="13" t="n">
        <v>45868.459016204</v>
      </c>
      <c r="B1088" s="6" t="n">
        <v>58.34</v>
      </c>
      <c r="C1088" s="6" t="n">
        <v>58.34</v>
      </c>
      <c r="D1088" s="16" t="s">
        <v>595</v>
      </c>
      <c r="E1088" s="16"/>
      <c r="F1088" s="16"/>
      <c r="G1088" s="6" t="s">
        <f>=A1088-A1087</f>
      </c>
      <c r="H1088" s="6" t="s">
        <f>=B1088+H1087</f>
      </c>
      <c r="I1088" s="6" t="s">
        <f>=G1088*H1087</f>
      </c>
    </row>
    <row collapsed="false" customFormat="false" customHeight="false" hidden="false" ht="12.1" outlineLevel="0" r="1089">
      <c r="A1089" s="13" t="n">
        <v>45869.451180556</v>
      </c>
      <c r="B1089" s="6" t="n">
        <v>50.42</v>
      </c>
      <c r="C1089" s="6" t="n">
        <v>50.42</v>
      </c>
      <c r="D1089" s="16" t="s">
        <v>475</v>
      </c>
      <c r="E1089" s="16"/>
      <c r="F1089" s="16"/>
      <c r="G1089" s="6" t="s">
        <f>=A1089-A1088</f>
      </c>
      <c r="H1089" s="6" t="s">
        <f>=B1089+H1088</f>
      </c>
      <c r="I1089" s="6" t="s">
        <f>=G1089*H1088</f>
      </c>
    </row>
    <row collapsed="false" customFormat="false" customHeight="false" hidden="false" ht="12.1" outlineLevel="0" r="1090">
      <c r="A1090" s="13" t="n">
        <v>45869.455347222</v>
      </c>
      <c r="B1090" s="6" t="n">
        <v>137.64</v>
      </c>
      <c r="C1090" s="6" t="n">
        <v>137.64</v>
      </c>
      <c r="D1090" s="16" t="s">
        <v>596</v>
      </c>
      <c r="E1090" s="16"/>
      <c r="F1090" s="16"/>
      <c r="G1090" s="6" t="s">
        <f>=A1090-A1089</f>
      </c>
      <c r="H1090" s="6" t="s">
        <f>=B1090+H1089</f>
      </c>
      <c r="I1090" s="6" t="s">
        <f>=G1090*H1089</f>
      </c>
    </row>
    <row collapsed="false" customFormat="false" customHeight="false" hidden="false" ht="12.1" outlineLevel="0" r="1091">
      <c r="A1091" s="13" t="n">
        <v>45869.456724537</v>
      </c>
      <c r="B1091" s="6" t="n">
        <v>18.4</v>
      </c>
      <c r="C1091" s="6" t="n">
        <v>18.4</v>
      </c>
      <c r="D1091" s="16" t="s">
        <v>520</v>
      </c>
      <c r="E1091" s="16"/>
      <c r="F1091" s="16"/>
      <c r="G1091" s="6" t="s">
        <f>=A1091-A1090</f>
      </c>
      <c r="H1091" s="6" t="s">
        <f>=B1091+H1090</f>
      </c>
      <c r="I1091" s="6" t="s">
        <f>=G1091*H1090</f>
      </c>
    </row>
    <row collapsed="false" customFormat="false" customHeight="false" hidden="false" ht="12.1" outlineLevel="0" r="1092">
      <c r="A1092" s="13" t="n">
        <v>45869.466296296</v>
      </c>
      <c r="B1092" s="6" t="n">
        <v>943.02</v>
      </c>
      <c r="C1092" s="6" t="n">
        <v>943.02</v>
      </c>
      <c r="D1092" s="16" t="s">
        <v>360</v>
      </c>
      <c r="E1092" s="16"/>
      <c r="F1092" s="16"/>
      <c r="G1092" s="6" t="s">
        <f>=A1092-A1091</f>
      </c>
      <c r="H1092" s="6" t="s">
        <f>=B1092+H1091</f>
      </c>
      <c r="I1092" s="6" t="s">
        <f>=G1092*H1091</f>
      </c>
    </row>
    <row collapsed="false" customFormat="false" customHeight="false" hidden="false" ht="12.1" outlineLevel="0" r="1093">
      <c r="A1093" s="13" t="n">
        <v>45869.543101852</v>
      </c>
      <c r="B1093" s="6" t="n">
        <v>11600</v>
      </c>
      <c r="C1093" s="6" t="n">
        <v>11600</v>
      </c>
      <c r="D1093" s="16" t="s">
        <v>350</v>
      </c>
      <c r="E1093" s="16"/>
      <c r="F1093" s="16"/>
      <c r="G1093" s="6" t="s">
        <f>=A1093-A1092</f>
      </c>
      <c r="H1093" s="6" t="s">
        <f>=B1093+H1092</f>
      </c>
      <c r="I1093" s="6" t="s">
        <f>=G1093*H1092</f>
      </c>
    </row>
    <row collapsed="false" customFormat="false" customHeight="false" hidden="false" ht="12.1" outlineLevel="0" r="1094">
      <c r="A1094" s="13" t="n">
        <v>45870</v>
      </c>
      <c r="B1094" s="6" t="n">
        <v>-23.86</v>
      </c>
      <c r="C1094" s="6" t="n">
        <v>-23.86</v>
      </c>
      <c r="D1094" s="16" t="s">
        <v>637</v>
      </c>
      <c r="E1094" s="16"/>
      <c r="F1094" s="16"/>
      <c r="G1094" s="6" t="s">
        <f>=A1094-A1093</f>
      </c>
      <c r="H1094" s="6" t="s">
        <f>=B1094+H1093</f>
      </c>
      <c r="I1094" s="6" t="s">
        <f>=G1094*H1093</f>
      </c>
    </row>
    <row collapsed="false" customFormat="false" customHeight="false" hidden="false" ht="12.1" outlineLevel="0" r="1095">
      <c r="A1095" s="13" t="n">
        <v>45870</v>
      </c>
      <c r="B1095" s="6" t="n">
        <v>-239.36</v>
      </c>
      <c r="C1095" s="6" t="n">
        <v>-239.36</v>
      </c>
      <c r="D1095" s="16" t="s">
        <v>813</v>
      </c>
      <c r="E1095" s="16"/>
      <c r="F1095" s="16"/>
      <c r="G1095" s="6" t="s">
        <f>=A1095-A1094</f>
      </c>
      <c r="H1095" s="6" t="s">
        <f>=B1095+H1094</f>
      </c>
      <c r="I1095" s="6" t="s">
        <f>=G1095*H1094</f>
      </c>
    </row>
    <row collapsed="false" customFormat="false" customHeight="false" hidden="false" ht="12.1" outlineLevel="0" r="1096">
      <c r="A1096" s="13" t="n">
        <v>45870.583506944</v>
      </c>
      <c r="B1096" s="6" t="n">
        <v>90</v>
      </c>
      <c r="C1096" s="6" t="n">
        <v>90</v>
      </c>
      <c r="D1096" s="16" t="s">
        <v>814</v>
      </c>
      <c r="E1096" s="16"/>
      <c r="F1096" s="16"/>
      <c r="G1096" s="6" t="s">
        <f>=A1096-A1095</f>
      </c>
      <c r="H1096" s="6" t="s">
        <f>=B1096+H1095</f>
      </c>
      <c r="I1096" s="6" t="s">
        <f>=G1096*H1095</f>
      </c>
    </row>
    <row collapsed="false" customFormat="false" customHeight="false" hidden="false" ht="12.1" outlineLevel="0" r="1097">
      <c r="A1097" s="13" t="n">
        <v>45870.602847222</v>
      </c>
      <c r="B1097" s="6" t="n">
        <v>850</v>
      </c>
      <c r="C1097" s="6" t="n">
        <v>850</v>
      </c>
      <c r="D1097" s="16" t="s">
        <v>447</v>
      </c>
      <c r="E1097" s="16"/>
      <c r="F1097" s="16"/>
      <c r="G1097" s="6" t="s">
        <f>=A1097-A1096</f>
      </c>
      <c r="H1097" s="6" t="s">
        <f>=B1097+H1096</f>
      </c>
      <c r="I1097" s="6" t="s">
        <f>=G1097*H1096</f>
      </c>
    </row>
    <row collapsed="false" customFormat="false" customHeight="false" hidden="false" ht="12.1" outlineLevel="0" r="1098">
      <c r="A1098" s="13" t="n">
        <v>45871</v>
      </c>
      <c r="B1098" s="6" t="n">
        <v>-53.1</v>
      </c>
      <c r="C1098" s="6" t="n">
        <v>-53.1</v>
      </c>
      <c r="D1098" s="16" t="s">
        <v>448</v>
      </c>
      <c r="E1098" s="16"/>
      <c r="F1098" s="16"/>
      <c r="G1098" s="6" t="s">
        <f>=A1098-A1097</f>
      </c>
      <c r="H1098" s="6" t="s">
        <f>=B1098+H1097</f>
      </c>
      <c r="I1098" s="6" t="s">
        <f>=G1098*H1097</f>
      </c>
    </row>
    <row collapsed="false" customFormat="false" customHeight="false" hidden="false" ht="12.1" outlineLevel="0" r="1099">
      <c r="A1099" s="13" t="n">
        <v>45871</v>
      </c>
      <c r="B1099" s="6" t="n">
        <v>-36.96</v>
      </c>
      <c r="C1099" s="6" t="n">
        <v>-36.96</v>
      </c>
      <c r="D1099" s="16" t="s">
        <v>815</v>
      </c>
      <c r="E1099" s="16"/>
      <c r="F1099" s="16"/>
      <c r="G1099" s="6" t="s">
        <f>=A1099-A1098</f>
      </c>
      <c r="H1099" s="6" t="s">
        <f>=B1099+H1098</f>
      </c>
      <c r="I1099" s="6" t="s">
        <f>=G1099*H1098</f>
      </c>
    </row>
    <row collapsed="false" customFormat="false" customHeight="false" hidden="false" ht="12.1" outlineLevel="0" r="1100">
      <c r="A1100" s="13" t="n">
        <v>45873.425706019</v>
      </c>
      <c r="B1100" s="6" t="n">
        <v>239.36</v>
      </c>
      <c r="C1100" s="6" t="n">
        <v>239.36</v>
      </c>
      <c r="D1100" s="16" t="s">
        <v>688</v>
      </c>
      <c r="E1100" s="16"/>
      <c r="F1100" s="16"/>
      <c r="G1100" s="6" t="s">
        <f>=A1100-A1099</f>
      </c>
      <c r="H1100" s="6" t="s">
        <f>=B1100+H1099</f>
      </c>
      <c r="I1100" s="6" t="s">
        <f>=G1100*H1099</f>
      </c>
    </row>
    <row collapsed="false" customFormat="false" customHeight="false" hidden="false" ht="12.1" outlineLevel="0" r="1101">
      <c r="A1101" s="13" t="n">
        <v>45873.439282407</v>
      </c>
      <c r="B1101" s="6" t="n">
        <v>23.86</v>
      </c>
      <c r="C1101" s="6" t="n">
        <v>23.86</v>
      </c>
      <c r="D1101" s="16" t="s">
        <v>638</v>
      </c>
      <c r="E1101" s="16"/>
      <c r="F1101" s="16"/>
      <c r="G1101" s="6" t="s">
        <f>=A1101-A1100</f>
      </c>
      <c r="H1101" s="6" t="s">
        <f>=B1101+H1100</f>
      </c>
      <c r="I1101" s="6" t="s">
        <f>=G1101*H1100</f>
      </c>
    </row>
    <row collapsed="false" customFormat="false" customHeight="false" hidden="false" ht="12.1" outlineLevel="0" r="1102">
      <c r="A1102" s="13" t="n">
        <v>45873.636134259</v>
      </c>
      <c r="B1102" s="6" t="n">
        <v>6968</v>
      </c>
      <c r="C1102" s="6" t="n">
        <v>6968</v>
      </c>
      <c r="D1102" s="16" t="s">
        <v>421</v>
      </c>
      <c r="E1102" s="16"/>
      <c r="F1102" s="16"/>
      <c r="G1102" s="6" t="s">
        <f>=A1102-A1101</f>
      </c>
      <c r="H1102" s="6" t="s">
        <f>=B1102+H1101</f>
      </c>
      <c r="I1102" s="6" t="s">
        <f>=G1102*H1101</f>
      </c>
    </row>
    <row collapsed="false" customFormat="false" customHeight="false" hidden="false" ht="12.1" outlineLevel="0" r="1103">
      <c r="A1103" s="13" t="n">
        <v>45873.645856481</v>
      </c>
      <c r="B1103" s="6" t="n">
        <v>1045.2</v>
      </c>
      <c r="C1103" s="6" t="n">
        <v>1045.2</v>
      </c>
      <c r="D1103" s="16" t="s">
        <v>420</v>
      </c>
      <c r="E1103" s="16"/>
      <c r="F1103" s="16"/>
      <c r="G1103" s="6" t="s">
        <f>=A1103-A1102</f>
      </c>
      <c r="H1103" s="6" t="s">
        <f>=B1103+H1102</f>
      </c>
      <c r="I1103" s="6" t="s">
        <f>=G1103*H1102</f>
      </c>
    </row>
    <row collapsed="false" customFormat="false" customHeight="false" hidden="false" ht="12.1" outlineLevel="0" r="1104">
      <c r="A1104" s="13" t="n">
        <v>45874</v>
      </c>
      <c r="B1104" s="6" t="n">
        <v>-3.28</v>
      </c>
      <c r="C1104" s="6" t="n">
        <v>-3.28</v>
      </c>
      <c r="D1104" s="16" t="s">
        <v>784</v>
      </c>
      <c r="E1104" s="16"/>
      <c r="F1104" s="16"/>
      <c r="G1104" s="6" t="s">
        <f>=A1104-A1103</f>
      </c>
      <c r="H1104" s="6" t="s">
        <f>=B1104+H1103</f>
      </c>
      <c r="I1104" s="6" t="s">
        <f>=G1104*H1103</f>
      </c>
    </row>
    <row collapsed="false" customFormat="false" customHeight="false" hidden="false" ht="12.1" outlineLevel="0" r="1105">
      <c r="A1105" s="13" t="n">
        <v>45874.428194444</v>
      </c>
      <c r="B1105" s="6" t="n">
        <v>53.1</v>
      </c>
      <c r="C1105" s="6" t="n">
        <v>53.1</v>
      </c>
      <c r="D1105" s="16" t="s">
        <v>393</v>
      </c>
      <c r="E1105" s="16"/>
      <c r="F1105" s="16"/>
      <c r="G1105" s="6" t="s">
        <f>=A1105-A1104</f>
      </c>
      <c r="H1105" s="6" t="s">
        <f>=B1105+H1104</f>
      </c>
      <c r="I1105" s="6" t="s">
        <f>=G1105*H1104</f>
      </c>
    </row>
    <row collapsed="false" customFormat="false" customHeight="false" hidden="false" ht="12.1" outlineLevel="0" r="1106">
      <c r="A1106" s="13" t="n">
        <v>45874.516701389</v>
      </c>
      <c r="B1106" s="6" t="n">
        <v>36.96</v>
      </c>
      <c r="C1106" s="6" t="n">
        <v>36.96</v>
      </c>
      <c r="D1106" s="16" t="s">
        <v>454</v>
      </c>
      <c r="E1106" s="16"/>
      <c r="F1106" s="16"/>
      <c r="G1106" s="6" t="s">
        <f>=A1106-A1105</f>
      </c>
      <c r="H1106" s="6" t="s">
        <f>=B1106+H1105</f>
      </c>
      <c r="I1106" s="6" t="s">
        <f>=G1106*H1105</f>
      </c>
    </row>
    <row collapsed="false" customFormat="false" customHeight="false" hidden="false" ht="12.1" outlineLevel="0" r="1107">
      <c r="A1107" s="13" t="n">
        <v>45875</v>
      </c>
      <c r="B1107" s="6" t="n">
        <v>-41.46</v>
      </c>
      <c r="C1107" s="6" t="n">
        <v>-41.46</v>
      </c>
      <c r="D1107" s="16" t="s">
        <v>816</v>
      </c>
      <c r="E1107" s="16"/>
      <c r="F1107" s="16"/>
      <c r="G1107" s="6" t="s">
        <f>=A1107-A1106</f>
      </c>
      <c r="H1107" s="6" t="s">
        <f>=B1107+H1106</f>
      </c>
      <c r="I1107" s="6" t="s">
        <f>=G1107*H1106</f>
      </c>
    </row>
    <row collapsed="false" customFormat="false" customHeight="false" hidden="false" ht="12.1" outlineLevel="0" r="1108">
      <c r="A1108" s="13" t="n">
        <v>45875</v>
      </c>
      <c r="B1108" s="6" t="n">
        <v>-19.11</v>
      </c>
      <c r="C1108" s="6" t="n">
        <v>-19.11</v>
      </c>
      <c r="D1108" s="16" t="s">
        <v>743</v>
      </c>
      <c r="E1108" s="16"/>
      <c r="F1108" s="16"/>
      <c r="G1108" s="6" t="s">
        <f>=A1108-A1107</f>
      </c>
      <c r="H1108" s="6" t="s">
        <f>=B1108+H1107</f>
      </c>
      <c r="I1108" s="6" t="s">
        <f>=G1108*H1107</f>
      </c>
    </row>
    <row collapsed="false" customFormat="false" customHeight="false" hidden="false" ht="12.1" outlineLevel="0" r="1109">
      <c r="A1109" s="13" t="n">
        <v>45875.465555556</v>
      </c>
      <c r="B1109" s="6" t="n">
        <v>3.28</v>
      </c>
      <c r="C1109" s="6" t="n">
        <v>3.28</v>
      </c>
      <c r="D1109" s="16" t="s">
        <v>787</v>
      </c>
      <c r="E1109" s="16"/>
      <c r="F1109" s="16"/>
      <c r="G1109" s="6" t="s">
        <f>=A1109-A1108</f>
      </c>
      <c r="H1109" s="6" t="s">
        <f>=B1109+H1108</f>
      </c>
      <c r="I1109" s="6" t="s">
        <f>=G1109*H1108</f>
      </c>
    </row>
    <row collapsed="false" customFormat="false" customHeight="false" hidden="false" ht="12.1" outlineLevel="0" r="1110">
      <c r="A1110" s="13" t="n">
        <v>45876.55650463</v>
      </c>
      <c r="B1110" s="6" t="n">
        <v>41.46</v>
      </c>
      <c r="C1110" s="6" t="n">
        <v>41.46</v>
      </c>
      <c r="D1110" s="16" t="s">
        <v>598</v>
      </c>
      <c r="E1110" s="16"/>
      <c r="F1110" s="16"/>
      <c r="G1110" s="6" t="s">
        <f>=A1110-A1109</f>
      </c>
      <c r="H1110" s="6" t="s">
        <f>=B1110+H1109</f>
      </c>
      <c r="I1110" s="6" t="s">
        <f>=G1110*H1109</f>
      </c>
    </row>
    <row collapsed="false" customFormat="false" customHeight="false" hidden="false" ht="12.1" outlineLevel="0" r="1111">
      <c r="A1111" s="13" t="n">
        <v>45876.571828704</v>
      </c>
      <c r="B1111" s="6" t="n">
        <v>19.11</v>
      </c>
      <c r="C1111" s="6" t="n">
        <v>19.11</v>
      </c>
      <c r="D1111" s="16" t="s">
        <v>748</v>
      </c>
      <c r="E1111" s="16"/>
      <c r="F1111" s="16"/>
      <c r="G1111" s="6" t="s">
        <f>=A1111-A1110</f>
      </c>
      <c r="H1111" s="6" t="s">
        <f>=B1111+H1110</f>
      </c>
      <c r="I1111" s="6" t="s">
        <f>=G1111*H1110</f>
      </c>
    </row>
    <row collapsed="false" customFormat="false" customHeight="false" hidden="false" ht="12.1" outlineLevel="0" r="1112">
      <c r="A1112" s="13" t="n">
        <v>45877</v>
      </c>
      <c r="B1112" s="6" t="n">
        <v>-18.16</v>
      </c>
      <c r="C1112" s="6" t="n">
        <v>-18.16</v>
      </c>
      <c r="D1112" s="16" t="s">
        <v>817</v>
      </c>
      <c r="E1112" s="16"/>
      <c r="F1112" s="16"/>
      <c r="G1112" s="6" t="s">
        <f>=A1112-A1111</f>
      </c>
      <c r="H1112" s="6" t="s">
        <f>=B1112+H1111</f>
      </c>
      <c r="I1112" s="6" t="s">
        <f>=G1112*H1111</f>
      </c>
    </row>
    <row collapsed="false" customFormat="false" customHeight="false" hidden="false" ht="12.1" outlineLevel="0" r="1113">
      <c r="A1113" s="13" t="n">
        <v>45880.445462963</v>
      </c>
      <c r="B1113" s="6" t="n">
        <v>18.16</v>
      </c>
      <c r="C1113" s="6" t="n">
        <v>18.16</v>
      </c>
      <c r="D1113" s="16" t="s">
        <v>745</v>
      </c>
      <c r="E1113" s="16"/>
      <c r="F1113" s="16"/>
      <c r="G1113" s="6" t="s">
        <f>=A1113-A1112</f>
      </c>
      <c r="H1113" s="6" t="s">
        <f>=B1113+H1112</f>
      </c>
      <c r="I1113" s="6" t="s">
        <f>=G1113*H1112</f>
      </c>
    </row>
    <row collapsed="false" customFormat="false" customHeight="false" hidden="false" ht="12.1" outlineLevel="0" r="1114">
      <c r="A1114" s="13" t="n">
        <v>45882</v>
      </c>
      <c r="B1114" s="6" t="n">
        <v>-663.1</v>
      </c>
      <c r="C1114" s="6" t="n">
        <v>-663.1</v>
      </c>
      <c r="D1114" s="16" t="s">
        <v>818</v>
      </c>
      <c r="E1114" s="16"/>
      <c r="F1114" s="16"/>
      <c r="G1114" s="6" t="s">
        <f>=A1114-A1113</f>
      </c>
      <c r="H1114" s="6" t="s">
        <f>=B1114+H1113</f>
      </c>
      <c r="I1114" s="6" t="s">
        <f>=G1114*H1113</f>
      </c>
    </row>
    <row collapsed="false" customFormat="false" customHeight="false" hidden="false" ht="12.1" outlineLevel="0" r="1115">
      <c r="A1115" s="13" t="n">
        <v>45882</v>
      </c>
      <c r="B1115" s="6" t="n">
        <v>-4.67</v>
      </c>
      <c r="C1115" s="6" t="n">
        <v>-4.67</v>
      </c>
      <c r="D1115" s="16" t="s">
        <v>542</v>
      </c>
      <c r="E1115" s="16"/>
      <c r="F1115" s="16"/>
      <c r="G1115" s="6" t="s">
        <f>=A1115-A1114</f>
      </c>
      <c r="H1115" s="6" t="s">
        <f>=B1115+H1114</f>
      </c>
      <c r="I1115" s="6" t="s">
        <f>=G1115*H1114</f>
      </c>
    </row>
    <row collapsed="false" customFormat="false" customHeight="false" hidden="false" ht="12.1" outlineLevel="0" r="1116">
      <c r="A1116" s="13" t="n">
        <v>45882</v>
      </c>
      <c r="B1116" s="6" t="n">
        <v>-135.5</v>
      </c>
      <c r="C1116" s="6" t="n">
        <v>-135.5</v>
      </c>
      <c r="D1116" s="16" t="s">
        <v>819</v>
      </c>
      <c r="E1116" s="16"/>
      <c r="F1116" s="16"/>
      <c r="G1116" s="6" t="s">
        <f>=A1116-A1115</f>
      </c>
      <c r="H1116" s="6" t="s">
        <f>=B1116+H1115</f>
      </c>
      <c r="I1116" s="6" t="s">
        <f>=G1116*H1115</f>
      </c>
    </row>
    <row collapsed="false" customFormat="false" customHeight="false" hidden="false" ht="12.1" outlineLevel="0" r="1117">
      <c r="A1117" s="13" t="n">
        <v>45883.470972222</v>
      </c>
      <c r="B1117" s="6" t="n">
        <v>4.67</v>
      </c>
      <c r="C1117" s="6" t="n">
        <v>4.67</v>
      </c>
      <c r="D1117" s="16" t="s">
        <v>543</v>
      </c>
      <c r="E1117" s="16"/>
      <c r="F1117" s="16"/>
      <c r="G1117" s="6" t="s">
        <f>=A1117-A1116</f>
      </c>
      <c r="H1117" s="6" t="s">
        <f>=B1117+H1116</f>
      </c>
      <c r="I1117" s="6" t="s">
        <f>=G1117*H1116</f>
      </c>
    </row>
    <row collapsed="false" customFormat="false" customHeight="false" hidden="false" ht="12.1" outlineLevel="0" r="1118">
      <c r="A1118" s="13" t="n">
        <v>45883.4996875</v>
      </c>
      <c r="B1118" s="6" t="n">
        <v>663.1</v>
      </c>
      <c r="C1118" s="6" t="n">
        <v>663.1</v>
      </c>
      <c r="D1118" s="16" t="s">
        <v>395</v>
      </c>
      <c r="E1118" s="16"/>
      <c r="F1118" s="16"/>
      <c r="G1118" s="6" t="s">
        <f>=A1118-A1117</f>
      </c>
      <c r="H1118" s="6" t="s">
        <f>=B1118+H1117</f>
      </c>
      <c r="I1118" s="6" t="s">
        <f>=G1118*H1117</f>
      </c>
    </row>
    <row collapsed="false" customFormat="false" customHeight="false" hidden="false" ht="12.1" outlineLevel="0" r="1119">
      <c r="A1119" s="13" t="n">
        <v>45884</v>
      </c>
      <c r="B1119" s="6" t="n">
        <v>-207.44</v>
      </c>
      <c r="C1119" s="6" t="n">
        <v>-207.44</v>
      </c>
      <c r="D1119" s="16" t="s">
        <v>820</v>
      </c>
      <c r="E1119" s="16"/>
      <c r="F1119" s="16"/>
      <c r="G1119" s="6" t="s">
        <f>=A1119-A1118</f>
      </c>
      <c r="H1119" s="6" t="s">
        <f>=B1119+H1118</f>
      </c>
      <c r="I1119" s="6" t="s">
        <f>=G1119*H1118</f>
      </c>
    </row>
    <row collapsed="false" customFormat="false" customHeight="false" hidden="false" ht="12.1" outlineLevel="0" r="1120">
      <c r="A1120" s="13" t="n">
        <v>45884</v>
      </c>
      <c r="B1120" s="6" t="n">
        <v>-51.61</v>
      </c>
      <c r="C1120" s="6" t="n">
        <v>-51.61</v>
      </c>
      <c r="D1120" s="16" t="s">
        <v>450</v>
      </c>
      <c r="E1120" s="16"/>
      <c r="F1120" s="16"/>
      <c r="G1120" s="6" t="s">
        <f>=A1120-A1119</f>
      </c>
      <c r="H1120" s="6" t="s">
        <f>=B1120+H1119</f>
      </c>
      <c r="I1120" s="6" t="s">
        <f>=G1120*H1119</f>
      </c>
    </row>
    <row collapsed="false" customFormat="false" customHeight="false" hidden="false" ht="12.1" outlineLevel="0" r="1121">
      <c r="A1121" s="13" t="n">
        <v>45886</v>
      </c>
      <c r="B1121" s="6" t="n">
        <v>-17.87</v>
      </c>
      <c r="C1121" s="6" t="n">
        <v>-17.87</v>
      </c>
      <c r="D1121" s="16" t="s">
        <v>821</v>
      </c>
      <c r="E1121" s="16"/>
      <c r="F1121" s="16"/>
      <c r="G1121" s="6" t="s">
        <f>=A1121-A1120</f>
      </c>
      <c r="H1121" s="6" t="s">
        <f>=B1121+H1120</f>
      </c>
      <c r="I1121" s="6" t="s">
        <f>=G1121*H1120</f>
      </c>
    </row>
    <row collapsed="false" customFormat="false" customHeight="false" hidden="false" ht="12.1" outlineLevel="0" r="1122">
      <c r="A1122" s="13" t="n">
        <v>45887.534490741</v>
      </c>
      <c r="B1122" s="6" t="n">
        <v>207.44</v>
      </c>
      <c r="C1122" s="6" t="n">
        <v>207.44</v>
      </c>
      <c r="D1122" s="16" t="s">
        <v>692</v>
      </c>
      <c r="E1122" s="16"/>
      <c r="F1122" s="16"/>
      <c r="G1122" s="6" t="s">
        <f>=A1122-A1121</f>
      </c>
      <c r="H1122" s="6" t="s">
        <f>=B1122+H1121</f>
      </c>
      <c r="I1122" s="6" t="s">
        <f>=G1122*H1121</f>
      </c>
    </row>
    <row collapsed="false" customFormat="false" customHeight="false" hidden="false" ht="12.1" outlineLevel="0" r="1123">
      <c r="A1123" s="13" t="n">
        <v>45887.655173611</v>
      </c>
      <c r="B1123" s="6" t="n">
        <v>51.61</v>
      </c>
      <c r="C1123" s="6" t="n">
        <v>51.61</v>
      </c>
      <c r="D1123" s="16" t="s">
        <v>453</v>
      </c>
      <c r="E1123" s="16"/>
      <c r="F1123" s="16"/>
      <c r="G1123" s="6" t="s">
        <f>=A1123-A1122</f>
      </c>
      <c r="H1123" s="6" t="s">
        <f>=B1123+H1122</f>
      </c>
      <c r="I1123" s="6" t="s">
        <f>=G1123*H1122</f>
      </c>
    </row>
    <row collapsed="false" customFormat="false" customHeight="false" hidden="false" ht="12.1" outlineLevel="0" r="1124">
      <c r="A1124" s="13" t="n">
        <v>45888.468784722</v>
      </c>
      <c r="B1124" s="6" t="n">
        <v>17.87</v>
      </c>
      <c r="C1124" s="6" t="n">
        <v>17.87</v>
      </c>
      <c r="D1124" s="16" t="s">
        <v>726</v>
      </c>
      <c r="E1124" s="16"/>
      <c r="F1124" s="16"/>
      <c r="G1124" s="6" t="s">
        <f>=A1124-A1123</f>
      </c>
      <c r="H1124" s="6" t="s">
        <f>=B1124+H1123</f>
      </c>
      <c r="I1124" s="6" t="s">
        <f>=G1124*H1123</f>
      </c>
    </row>
    <row collapsed="false" customFormat="false" customHeight="false" hidden="false" ht="12.1" outlineLevel="0" r="1125">
      <c r="A1125" s="13" t="n">
        <v>45889</v>
      </c>
      <c r="B1125" s="6" t="n">
        <v>-20.96</v>
      </c>
      <c r="C1125" s="6" t="n">
        <v>-20.96</v>
      </c>
      <c r="D1125" s="16" t="s">
        <v>757</v>
      </c>
      <c r="E1125" s="16"/>
      <c r="F1125" s="16"/>
      <c r="G1125" s="6" t="s">
        <f>=A1125-A1124</f>
      </c>
      <c r="H1125" s="6" t="s">
        <f>=B1125+H1124</f>
      </c>
      <c r="I1125" s="6" t="s">
        <f>=G1125*H1124</f>
      </c>
    </row>
    <row collapsed="false" customFormat="false" customHeight="false" hidden="false" ht="12.1" outlineLevel="0" r="1126">
      <c r="A1126" s="13" t="n">
        <v>45890</v>
      </c>
      <c r="B1126" s="6" t="n">
        <v>-6.5</v>
      </c>
      <c r="C1126" s="6" t="n">
        <v>-6.5</v>
      </c>
      <c r="D1126" s="16" t="s">
        <v>756</v>
      </c>
      <c r="E1126" s="16"/>
      <c r="F1126" s="16"/>
      <c r="G1126" s="6" t="s">
        <f>=A1126-A1125</f>
      </c>
      <c r="H1126" s="6" t="s">
        <f>=B1126+H1125</f>
      </c>
      <c r="I1126" s="6" t="s">
        <f>=G1126*H1125</f>
      </c>
    </row>
    <row collapsed="false" customFormat="false" customHeight="false" hidden="false" ht="12.1" outlineLevel="0" r="1127">
      <c r="A1127" s="13" t="n">
        <v>45890</v>
      </c>
      <c r="B1127" s="6" t="n">
        <v>-11.18</v>
      </c>
      <c r="C1127" s="6" t="n">
        <v>-11.18</v>
      </c>
      <c r="D1127" s="16" t="s">
        <v>613</v>
      </c>
      <c r="E1127" s="16"/>
      <c r="F1127" s="16"/>
      <c r="G1127" s="6" t="s">
        <f>=A1127-A1126</f>
      </c>
      <c r="H1127" s="6" t="s">
        <f>=B1127+H1126</f>
      </c>
      <c r="I1127" s="6" t="s">
        <f>=G1127*H1126</f>
      </c>
    </row>
    <row collapsed="false" customFormat="false" customHeight="false" hidden="false" ht="12.1" outlineLevel="0" r="1128">
      <c r="A1128" s="13" t="n">
        <v>45890.517685185</v>
      </c>
      <c r="B1128" s="6" t="n">
        <v>20.96</v>
      </c>
      <c r="C1128" s="6" t="n">
        <v>20.96</v>
      </c>
      <c r="D1128" s="16" t="s">
        <v>759</v>
      </c>
      <c r="E1128" s="16"/>
      <c r="F1128" s="16"/>
      <c r="G1128" s="6" t="s">
        <f>=A1128-A1127</f>
      </c>
      <c r="H1128" s="6" t="s">
        <f>=B1128+H1127</f>
      </c>
      <c r="I1128" s="6" t="s">
        <f>=G1128*H1127</f>
      </c>
    </row>
    <row collapsed="false" customFormat="false" customHeight="false" hidden="false" ht="12.1" outlineLevel="0" r="1129">
      <c r="A1129" s="13" t="n">
        <v>45891</v>
      </c>
      <c r="B1129" s="6" t="n">
        <v>-134.64</v>
      </c>
      <c r="C1129" s="6" t="n">
        <v>-134.64</v>
      </c>
      <c r="D1129" s="16" t="s">
        <v>822</v>
      </c>
      <c r="E1129" s="16"/>
      <c r="F1129" s="16"/>
      <c r="G1129" s="6" t="s">
        <f>=A1129-A1128</f>
      </c>
      <c r="H1129" s="6" t="s">
        <f>=B1129+H1128</f>
      </c>
      <c r="I1129" s="6" t="s">
        <f>=G1129*H1128</f>
      </c>
    </row>
    <row collapsed="false" customFormat="false" customHeight="false" hidden="false" ht="12.1" outlineLevel="0" r="1130">
      <c r="A1130" s="13" t="n">
        <v>45891</v>
      </c>
      <c r="B1130" s="6" t="n">
        <v>6.5</v>
      </c>
      <c r="C1130" s="6" t="n">
        <v>6.5</v>
      </c>
      <c r="D1130" s="16" t="s">
        <v>422</v>
      </c>
      <c r="E1130" s="16"/>
      <c r="F1130" s="16"/>
      <c r="G1130" s="6" t="s">
        <f>=A1130-A1129</f>
      </c>
      <c r="H1130" s="6" t="s">
        <f>=B1130+H1129</f>
      </c>
      <c r="I1130" s="6" t="s">
        <f>=G1130*H1129</f>
      </c>
    </row>
    <row collapsed="false" customFormat="false" customHeight="false" hidden="false" ht="12.1" outlineLevel="0" r="1131">
      <c r="A1131" s="13" t="n">
        <v>45891.577939815</v>
      </c>
      <c r="B1131" s="6" t="n">
        <v>11.18</v>
      </c>
      <c r="C1131" s="6" t="n">
        <v>11.18</v>
      </c>
      <c r="D1131" s="16" t="s">
        <v>616</v>
      </c>
      <c r="E1131" s="16"/>
      <c r="F1131" s="16"/>
      <c r="G1131" s="6" t="s">
        <f>=A1131-A1130</f>
      </c>
      <c r="H1131" s="6" t="s">
        <f>=B1131+H1130</f>
      </c>
      <c r="I1131" s="6" t="s">
        <f>=G1131*H1130</f>
      </c>
    </row>
    <row collapsed="false" customFormat="false" customHeight="false" hidden="false" ht="12.1" outlineLevel="0" r="1132">
      <c r="A1132" s="13" t="n">
        <v>45892</v>
      </c>
      <c r="B1132" s="6" t="n">
        <v>-34.68</v>
      </c>
      <c r="C1132" s="6" t="n">
        <v>-34.68</v>
      </c>
      <c r="D1132" s="16" t="s">
        <v>808</v>
      </c>
      <c r="E1132" s="16"/>
      <c r="F1132" s="16"/>
      <c r="G1132" s="6" t="s">
        <f>=A1132-A1131</f>
      </c>
      <c r="H1132" s="6" t="s">
        <f>=B1132+H1131</f>
      </c>
      <c r="I1132" s="6" t="s">
        <f>=G1132*H1131</f>
      </c>
    </row>
    <row collapsed="false" customFormat="false" customHeight="false" hidden="false" ht="12.1" outlineLevel="0" r="1133">
      <c r="A1133" s="13" t="n">
        <v>45894.471168981</v>
      </c>
      <c r="B1133" s="6" t="n">
        <v>134.64</v>
      </c>
      <c r="C1133" s="6" t="n">
        <v>134.64</v>
      </c>
      <c r="D1133" s="16" t="s">
        <v>694</v>
      </c>
      <c r="E1133" s="16"/>
      <c r="F1133" s="16"/>
      <c r="G1133" s="6" t="s">
        <f>=A1133-A1132</f>
      </c>
      <c r="H1133" s="6" t="s">
        <f>=B1133+H1132</f>
      </c>
      <c r="I1133" s="6" t="s">
        <f>=G1133*H1132</f>
      </c>
    </row>
    <row collapsed="false" customFormat="false" customHeight="false" hidden="false" ht="12.1" outlineLevel="0" r="1134">
      <c r="A1134" s="13" t="n">
        <v>45895</v>
      </c>
      <c r="B1134" s="6" t="n">
        <v>-74.79</v>
      </c>
      <c r="C1134" s="6" t="n">
        <v>-74.79</v>
      </c>
      <c r="D1134" s="16" t="s">
        <v>696</v>
      </c>
      <c r="E1134" s="16"/>
      <c r="F1134" s="16"/>
      <c r="G1134" s="6" t="s">
        <f>=A1134-A1133</f>
      </c>
      <c r="H1134" s="6" t="s">
        <f>=B1134+H1133</f>
      </c>
      <c r="I1134" s="6" t="s">
        <f>=G1134*H1133</f>
      </c>
    </row>
    <row collapsed="false" customFormat="false" customHeight="false" hidden="false" ht="12.1" outlineLevel="0" r="1135">
      <c r="A1135" s="13" t="n">
        <v>45895.587523148</v>
      </c>
      <c r="B1135" s="6" t="n">
        <v>34.68</v>
      </c>
      <c r="C1135" s="6" t="n">
        <v>34.68</v>
      </c>
      <c r="D1135" s="16" t="s">
        <v>590</v>
      </c>
      <c r="E1135" s="16"/>
      <c r="F1135" s="16"/>
      <c r="G1135" s="6" t="s">
        <f>=A1135-A1134</f>
      </c>
      <c r="H1135" s="6" t="s">
        <f>=B1135+H1134</f>
      </c>
      <c r="I1135" s="6" t="s">
        <f>=G1135*H1134</f>
      </c>
    </row>
    <row collapsed="false" customFormat="false" customHeight="false" hidden="false" ht="12.1" outlineLevel="0" r="1136">
      <c r="A1136" s="13" t="n">
        <v>45896</v>
      </c>
      <c r="B1136" s="6" t="n">
        <v>-19.48</v>
      </c>
      <c r="C1136" s="6" t="n">
        <v>-19.48</v>
      </c>
      <c r="D1136" s="16" t="s">
        <v>763</v>
      </c>
      <c r="E1136" s="16"/>
      <c r="F1136" s="16"/>
      <c r="G1136" s="6" t="s">
        <f>=A1136-A1135</f>
      </c>
      <c r="H1136" s="6" t="s">
        <f>=B1136+H1135</f>
      </c>
      <c r="I1136" s="6" t="s">
        <f>=G1136*H1135</f>
      </c>
    </row>
    <row collapsed="false" customFormat="false" customHeight="false" hidden="false" ht="12.1" outlineLevel="0" r="1137">
      <c r="A1137" s="13" t="n">
        <v>45896.49287037</v>
      </c>
      <c r="B1137" s="6" t="n">
        <v>74.79</v>
      </c>
      <c r="C1137" s="6" t="n">
        <v>74.79</v>
      </c>
      <c r="D1137" s="16" t="s">
        <v>649</v>
      </c>
      <c r="E1137" s="16"/>
      <c r="F1137" s="16"/>
      <c r="G1137" s="6" t="s">
        <f>=A1137-A1136</f>
      </c>
      <c r="H1137" s="6" t="s">
        <f>=B1137+H1136</f>
      </c>
      <c r="I1137" s="6" t="s">
        <f>=G1137*H1136</f>
      </c>
    </row>
    <row collapsed="false" customFormat="false" customHeight="false" hidden="false" ht="12.1" outlineLevel="0" r="1138">
      <c r="A1138" s="13" t="n">
        <v>45897</v>
      </c>
      <c r="B1138" s="6" t="n">
        <v>19.48</v>
      </c>
      <c r="C1138" s="6" t="n">
        <v>19.48</v>
      </c>
      <c r="D1138" s="16" t="s">
        <v>764</v>
      </c>
      <c r="E1138" s="16"/>
      <c r="F1138" s="16"/>
      <c r="G1138" s="6" t="s">
        <f>=A1138-A1137</f>
      </c>
      <c r="H1138" s="6" t="s">
        <f>=B1138+H1137</f>
      </c>
      <c r="I1138" s="6" t="s">
        <f>=G1138*H1137</f>
      </c>
    </row>
    <row collapsed="false" customFormat="false" customHeight="false" hidden="false" ht="12.1" outlineLevel="0" r="1139">
      <c r="A1139" s="13" t="n">
        <v>45897.573391204</v>
      </c>
      <c r="B1139" s="6" t="n">
        <v>135.5</v>
      </c>
      <c r="C1139" s="6" t="n">
        <v>135.5</v>
      </c>
      <c r="D1139" s="16" t="s">
        <v>489</v>
      </c>
      <c r="E1139" s="16"/>
      <c r="F1139" s="16"/>
      <c r="G1139" s="6" t="s">
        <f>=A1139-A1138</f>
      </c>
      <c r="H1139" s="6" t="s">
        <f>=B1139+H1138</f>
      </c>
      <c r="I1139" s="6" t="s">
        <f>=G1139*H1138</f>
      </c>
    </row>
    <row collapsed="false" customFormat="false" customHeight="false" hidden="false" ht="12.1" outlineLevel="0" r="1140">
      <c r="A1140" s="13" t="n">
        <v>45898</v>
      </c>
      <c r="B1140" s="6" t="n">
        <v>-24.81</v>
      </c>
      <c r="C1140" s="6" t="n">
        <v>-24.81</v>
      </c>
      <c r="D1140" s="16" t="s">
        <v>379</v>
      </c>
      <c r="E1140" s="16"/>
      <c r="F1140" s="16"/>
      <c r="G1140" s="6" t="s">
        <f>=A1140-A1139</f>
      </c>
      <c r="H1140" s="6" t="s">
        <f>=B1140+H1139</f>
      </c>
      <c r="I1140" s="6" t="s">
        <f>=G1140*H1139</f>
      </c>
    </row>
    <row collapsed="false" customFormat="false" customHeight="false" hidden="false" ht="12.1" outlineLevel="0" r="1141">
      <c r="A1141" s="13" t="n">
        <v>45899</v>
      </c>
      <c r="B1141" s="6" t="n">
        <v>-17.73</v>
      </c>
      <c r="C1141" s="6" t="n">
        <v>-17.73</v>
      </c>
      <c r="D1141" s="16" t="s">
        <v>823</v>
      </c>
      <c r="E1141" s="16"/>
      <c r="F1141" s="16"/>
      <c r="G1141" s="6" t="s">
        <f>=A1141-A1140</f>
      </c>
      <c r="H1141" s="6" t="s">
        <f>=B1141+H1140</f>
      </c>
      <c r="I1141" s="6" t="s">
        <f>=G1141*H1140</f>
      </c>
    </row>
    <row collapsed="false" customFormat="false" customHeight="false" hidden="false" ht="12.1" outlineLevel="0" r="1142">
      <c r="A1142" s="13" t="n">
        <v>45901</v>
      </c>
      <c r="B1142" s="6" t="n">
        <v>-39.9</v>
      </c>
      <c r="C1142" s="6" t="n">
        <v>-39.9</v>
      </c>
      <c r="D1142" s="16" t="s">
        <v>603</v>
      </c>
      <c r="E1142" s="16"/>
      <c r="F1142" s="16"/>
      <c r="G1142" s="6" t="s">
        <f>=A1142-A1141</f>
      </c>
      <c r="H1142" s="6" t="s">
        <f>=B1142+H1141</f>
      </c>
      <c r="I1142" s="6" t="s">
        <f>=G1142*H1141</f>
      </c>
    </row>
    <row collapsed="false" customFormat="false" customHeight="false" hidden="false" ht="12.1" outlineLevel="0" r="1143">
      <c r="A1143" s="13" t="n">
        <v>45901</v>
      </c>
      <c r="B1143" s="6" t="n">
        <v>-25.68</v>
      </c>
      <c r="C1143" s="6" t="n">
        <v>-25.68</v>
      </c>
      <c r="D1143" s="16" t="s">
        <v>766</v>
      </c>
      <c r="E1143" s="16"/>
      <c r="F1143" s="16"/>
      <c r="G1143" s="6" t="s">
        <f>=A1143-A1142</f>
      </c>
      <c r="H1143" s="6" t="s">
        <f>=B1143+H1142</f>
      </c>
      <c r="I1143" s="6" t="s">
        <f>=G1143*H1142</f>
      </c>
    </row>
    <row collapsed="false" customFormat="false" customHeight="false" hidden="false" ht="12.1" outlineLevel="0" r="1144">
      <c r="A1144" s="13" t="n">
        <v>45901.520289352</v>
      </c>
      <c r="B1144" s="6" t="n">
        <v>24.81</v>
      </c>
      <c r="C1144" s="6" t="n">
        <v>24.81</v>
      </c>
      <c r="D1144" s="16" t="s">
        <v>380</v>
      </c>
      <c r="E1144" s="16"/>
      <c r="F1144" s="16"/>
      <c r="G1144" s="6" t="s">
        <f>=A1144-A1143</f>
      </c>
      <c r="H1144" s="6" t="s">
        <f>=B1144+H1143</f>
      </c>
      <c r="I1144" s="6" t="s">
        <f>=G1144*H1143</f>
      </c>
    </row>
    <row collapsed="false" customFormat="false" customHeight="false" hidden="false" ht="12.1" outlineLevel="0" r="1145">
      <c r="A1145" s="13" t="n">
        <v>45901.754675926</v>
      </c>
      <c r="B1145" s="6" t="n">
        <v>5000</v>
      </c>
      <c r="C1145" s="6" t="n">
        <v>5000</v>
      </c>
      <c r="D1145" s="16" t="s">
        <v>350</v>
      </c>
      <c r="E1145" s="16"/>
      <c r="F1145" s="16"/>
      <c r="G1145" s="6" t="s">
        <f>=A1145-A1144</f>
      </c>
      <c r="H1145" s="6" t="s">
        <f>=B1145+H1144</f>
      </c>
      <c r="I1145" s="6" t="s">
        <f>=G1145*H1144</f>
      </c>
    </row>
    <row collapsed="false" customFormat="false" customHeight="false" hidden="false" ht="12.1" outlineLevel="0" r="1146">
      <c r="A1146" s="13" t="n">
        <v>45901.757395833</v>
      </c>
      <c r="B1146" s="6" t="n">
        <v>6820</v>
      </c>
      <c r="C1146" s="6" t="n">
        <v>6820</v>
      </c>
      <c r="D1146" s="16" t="s">
        <v>350</v>
      </c>
      <c r="E1146" s="16"/>
      <c r="F1146" s="16"/>
      <c r="G1146" s="6" t="s">
        <f>=A1146-A1145</f>
      </c>
      <c r="H1146" s="6" t="s">
        <f>=B1146+H1145</f>
      </c>
      <c r="I1146" s="6" t="s">
        <f>=G1146*H1145</f>
      </c>
    </row>
    <row collapsed="false" customFormat="false" customHeight="false" hidden="false" ht="12.1" outlineLevel="0" r="1147">
      <c r="A1147" s="13" t="n">
        <v>45902</v>
      </c>
      <c r="B1147" s="6" t="n">
        <v>-29.17</v>
      </c>
      <c r="C1147" s="6" t="n">
        <v>-29.17</v>
      </c>
      <c r="D1147" s="16" t="s">
        <v>651</v>
      </c>
      <c r="E1147" s="16"/>
      <c r="F1147" s="16"/>
      <c r="G1147" s="6" t="s">
        <f>=A1147-A1146</f>
      </c>
      <c r="H1147" s="6" t="s">
        <f>=B1147+H1146</f>
      </c>
      <c r="I1147" s="6" t="s">
        <f>=G1147*H1146</f>
      </c>
    </row>
    <row collapsed="false" customFormat="false" customHeight="false" hidden="false" ht="12.1" outlineLevel="0" r="1148">
      <c r="A1148" s="13" t="n">
        <v>45902</v>
      </c>
      <c r="B1148" s="6" t="n">
        <v>-35.7</v>
      </c>
      <c r="C1148" s="6" t="n">
        <v>-35.7</v>
      </c>
      <c r="D1148" s="16" t="s">
        <v>824</v>
      </c>
      <c r="E1148" s="16"/>
      <c r="F1148" s="16"/>
      <c r="G1148" s="6" t="s">
        <f>=A1148-A1147</f>
      </c>
      <c r="H1148" s="6" t="s">
        <f>=B1148+H1147</f>
      </c>
      <c r="I1148" s="6" t="s">
        <f>=G1148*H1147</f>
      </c>
    </row>
    <row collapsed="false" customFormat="false" customHeight="false" hidden="false" ht="12.1" outlineLevel="0" r="1149">
      <c r="A1149" s="13" t="n">
        <v>45902.501157407</v>
      </c>
      <c r="B1149" s="6" t="n">
        <v>17.73</v>
      </c>
      <c r="C1149" s="6" t="n">
        <v>17.73</v>
      </c>
      <c r="D1149" s="16" t="s">
        <v>520</v>
      </c>
      <c r="E1149" s="16"/>
      <c r="F1149" s="16"/>
      <c r="G1149" s="6" t="s">
        <f>=A1149-A1148</f>
      </c>
      <c r="H1149" s="6" t="s">
        <f>=B1149+H1148</f>
      </c>
      <c r="I1149" s="6" t="s">
        <f>=G1149*H1148</f>
      </c>
    </row>
    <row collapsed="false" customFormat="false" customHeight="false" hidden="false" ht="12.1" outlineLevel="0" r="1150">
      <c r="A1150" s="13" t="n">
        <v>45902.5684375</v>
      </c>
      <c r="B1150" s="6" t="n">
        <v>39.9</v>
      </c>
      <c r="C1150" s="6" t="n">
        <v>39.9</v>
      </c>
      <c r="D1150" s="16" t="s">
        <v>555</v>
      </c>
      <c r="E1150" s="16"/>
      <c r="F1150" s="16"/>
      <c r="G1150" s="6" t="s">
        <f>=A1150-A1149</f>
      </c>
      <c r="H1150" s="6" t="s">
        <f>=B1150+H1149</f>
      </c>
      <c r="I1150" s="6" t="s">
        <f>=G1150*H1149</f>
      </c>
    </row>
    <row collapsed="false" customFormat="false" customHeight="false" hidden="false" ht="12.1" outlineLevel="0" r="1151">
      <c r="A1151" s="13" t="n">
        <v>45902.624375</v>
      </c>
      <c r="B1151" s="6" t="n">
        <v>25.68</v>
      </c>
      <c r="C1151" s="6" t="n">
        <v>25.68</v>
      </c>
      <c r="D1151" s="16" t="s">
        <v>768</v>
      </c>
      <c r="E1151" s="16"/>
      <c r="F1151" s="16"/>
      <c r="G1151" s="6" t="s">
        <f>=A1151-A1150</f>
      </c>
      <c r="H1151" s="6" t="s">
        <f>=B1151+H1150</f>
      </c>
      <c r="I1151" s="6" t="s">
        <f>=G1151*H1150</f>
      </c>
    </row>
    <row collapsed="false" customFormat="false" customHeight="false" hidden="false" ht="12.1" outlineLevel="0" r="1152">
      <c r="A1152" s="13" t="n">
        <v>45903</v>
      </c>
      <c r="B1152" s="6" t="n">
        <v>-179.52</v>
      </c>
      <c r="C1152" s="6" t="n">
        <v>-179.52</v>
      </c>
      <c r="D1152" s="16" t="s">
        <v>604</v>
      </c>
      <c r="E1152" s="16"/>
      <c r="F1152" s="16"/>
      <c r="G1152" s="6" t="s">
        <f>=A1152-A1151</f>
      </c>
      <c r="H1152" s="6" t="s">
        <f>=B1152+H1151</f>
      </c>
      <c r="I1152" s="6" t="s">
        <f>=G1152*H1151</f>
      </c>
    </row>
    <row collapsed="false" customFormat="false" customHeight="false" hidden="false" ht="12.1" outlineLevel="0" r="1153">
      <c r="A1153" s="13" t="n">
        <v>45903</v>
      </c>
      <c r="B1153" s="6" t="n">
        <v>-19.55</v>
      </c>
      <c r="C1153" s="6" t="n">
        <v>-19.55</v>
      </c>
      <c r="D1153" s="16" t="s">
        <v>655</v>
      </c>
      <c r="E1153" s="16"/>
      <c r="F1153" s="16"/>
      <c r="G1153" s="6" t="s">
        <f>=A1153-A1152</f>
      </c>
      <c r="H1153" s="6" t="s">
        <f>=B1153+H1152</f>
      </c>
      <c r="I1153" s="6" t="s">
        <f>=G1153*H1152</f>
      </c>
    </row>
    <row collapsed="false" customFormat="false" customHeight="false" hidden="false" ht="12.1" outlineLevel="0" r="1154">
      <c r="A1154" s="13" t="n">
        <v>45903</v>
      </c>
      <c r="B1154" s="6" t="n">
        <v>-19.87</v>
      </c>
      <c r="C1154" s="6" t="n">
        <v>-19.87</v>
      </c>
      <c r="D1154" s="16" t="s">
        <v>381</v>
      </c>
      <c r="E1154" s="16"/>
      <c r="F1154" s="16"/>
      <c r="G1154" s="6" t="s">
        <f>=A1154-A1153</f>
      </c>
      <c r="H1154" s="6" t="s">
        <f>=B1154+H1153</f>
      </c>
      <c r="I1154" s="6" t="s">
        <f>=G1154*H1153</f>
      </c>
    </row>
    <row collapsed="false" customFormat="false" customHeight="false" hidden="false" ht="12.1" outlineLevel="0" r="1155">
      <c r="A1155" s="13" t="n">
        <v>45903</v>
      </c>
      <c r="B1155" s="6" t="n">
        <v>-106.71</v>
      </c>
      <c r="C1155" s="6" t="n">
        <v>-106.71</v>
      </c>
      <c r="D1155" s="16" t="s">
        <v>825</v>
      </c>
      <c r="E1155" s="16"/>
      <c r="F1155" s="16"/>
      <c r="G1155" s="6" t="s">
        <f>=A1155-A1154</f>
      </c>
      <c r="H1155" s="6" t="s">
        <f>=B1155+H1154</f>
      </c>
      <c r="I1155" s="6" t="s">
        <f>=G1155*H1154</f>
      </c>
    </row>
    <row collapsed="false" customFormat="false" customHeight="false" hidden="false" ht="12.1" outlineLevel="0" r="1156">
      <c r="A1156" s="13" t="n">
        <v>45903.4509375</v>
      </c>
      <c r="B1156" s="6" t="n">
        <v>29.17</v>
      </c>
      <c r="C1156" s="6" t="n">
        <v>29.17</v>
      </c>
      <c r="D1156" s="16" t="s">
        <v>657</v>
      </c>
      <c r="E1156" s="16"/>
      <c r="F1156" s="16"/>
      <c r="G1156" s="6" t="s">
        <f>=A1156-A1155</f>
      </c>
      <c r="H1156" s="6" t="s">
        <f>=B1156+H1155</f>
      </c>
      <c r="I1156" s="6" t="s">
        <f>=G1156*H1155</f>
      </c>
    </row>
    <row collapsed="false" customFormat="false" customHeight="false" hidden="false" ht="12.1" outlineLevel="0" r="1157">
      <c r="A1157" s="13" t="n">
        <v>45903.459247685</v>
      </c>
      <c r="B1157" s="6" t="n">
        <v>35.7</v>
      </c>
      <c r="C1157" s="6" t="n">
        <v>35.7</v>
      </c>
      <c r="D1157" s="16" t="s">
        <v>454</v>
      </c>
      <c r="E1157" s="16"/>
      <c r="F1157" s="16"/>
      <c r="G1157" s="6" t="s">
        <f>=A1157-A1156</f>
      </c>
      <c r="H1157" s="6" t="s">
        <f>=B1157+H1156</f>
      </c>
      <c r="I1157" s="6" t="s">
        <f>=G1157*H1156</f>
      </c>
    </row>
    <row collapsed="false" customFormat="false" customHeight="false" hidden="false" ht="12.1" outlineLevel="0" r="1158">
      <c r="A1158" s="13" t="n">
        <v>45904</v>
      </c>
      <c r="B1158" s="6" t="n">
        <v>-35.53</v>
      </c>
      <c r="C1158" s="6" t="n">
        <v>-35.53</v>
      </c>
      <c r="D1158" s="16" t="s">
        <v>659</v>
      </c>
      <c r="E1158" s="16"/>
      <c r="F1158" s="16"/>
      <c r="G1158" s="6" t="s">
        <f>=A1158-A1157</f>
      </c>
      <c r="H1158" s="6" t="s">
        <f>=B1158+H1157</f>
      </c>
      <c r="I1158" s="6" t="s">
        <f>=G1158*H1157</f>
      </c>
    </row>
    <row collapsed="false" customFormat="false" customHeight="false" hidden="false" ht="12.1" outlineLevel="0" r="1159">
      <c r="A1159" s="13" t="n">
        <v>45904</v>
      </c>
      <c r="B1159" s="6" t="n">
        <v>-3.28</v>
      </c>
      <c r="C1159" s="6" t="n">
        <v>-3.28</v>
      </c>
      <c r="D1159" s="16" t="s">
        <v>784</v>
      </c>
      <c r="E1159" s="16"/>
      <c r="F1159" s="16"/>
      <c r="G1159" s="6" t="s">
        <f>=A1159-A1158</f>
      </c>
      <c r="H1159" s="6" t="s">
        <f>=B1159+H1158</f>
      </c>
      <c r="I1159" s="6" t="s">
        <f>=G1159*H1158</f>
      </c>
    </row>
    <row collapsed="false" customFormat="false" customHeight="false" hidden="false" ht="12.1" outlineLevel="0" r="1160">
      <c r="A1160" s="13" t="n">
        <v>45904.4271875</v>
      </c>
      <c r="B1160" s="6" t="n">
        <v>19.55</v>
      </c>
      <c r="C1160" s="6" t="n">
        <v>19.55</v>
      </c>
      <c r="D1160" s="16" t="s">
        <v>662</v>
      </c>
      <c r="E1160" s="16"/>
      <c r="F1160" s="16"/>
      <c r="G1160" s="6" t="s">
        <f>=A1160-A1159</f>
      </c>
      <c r="H1160" s="6" t="s">
        <f>=B1160+H1159</f>
      </c>
      <c r="I1160" s="6" t="s">
        <f>=G1160*H1159</f>
      </c>
    </row>
    <row collapsed="false" customFormat="false" customHeight="false" hidden="false" ht="12.1" outlineLevel="0" r="1161">
      <c r="A1161" s="13" t="n">
        <v>45904.427534722</v>
      </c>
      <c r="B1161" s="6" t="n">
        <v>19.87</v>
      </c>
      <c r="C1161" s="6" t="n">
        <v>19.87</v>
      </c>
      <c r="D1161" s="16" t="s">
        <v>382</v>
      </c>
      <c r="E1161" s="16"/>
      <c r="F1161" s="16"/>
      <c r="G1161" s="6" t="s">
        <f>=A1161-A1160</f>
      </c>
      <c r="H1161" s="6" t="s">
        <f>=B1161+H1160</f>
      </c>
      <c r="I1161" s="6" t="s">
        <f>=G1161*H1160</f>
      </c>
    </row>
    <row collapsed="false" customFormat="false" customHeight="false" hidden="false" ht="12.1" outlineLevel="0" r="1162">
      <c r="A1162" s="13" t="n">
        <v>45904.481400463</v>
      </c>
      <c r="B1162" s="6" t="n">
        <v>106.71</v>
      </c>
      <c r="C1162" s="6" t="n">
        <v>106.71</v>
      </c>
      <c r="D1162" s="16" t="s">
        <v>398</v>
      </c>
      <c r="E1162" s="16"/>
      <c r="F1162" s="16"/>
      <c r="G1162" s="6" t="s">
        <f>=A1162-A1161</f>
      </c>
      <c r="H1162" s="6" t="s">
        <f>=B1162+H1161</f>
      </c>
      <c r="I1162" s="6" t="s">
        <f>=G1162*H1161</f>
      </c>
    </row>
    <row collapsed="false" customFormat="false" customHeight="false" hidden="false" ht="12.1" outlineLevel="0" r="1163">
      <c r="A1163" s="13" t="n">
        <v>45904.481550926</v>
      </c>
      <c r="B1163" s="6" t="n">
        <v>179.52</v>
      </c>
      <c r="C1163" s="6" t="n">
        <v>179.52</v>
      </c>
      <c r="D1163" s="16" t="s">
        <v>607</v>
      </c>
      <c r="E1163" s="16"/>
      <c r="F1163" s="16"/>
      <c r="G1163" s="6" t="s">
        <f>=A1163-A1162</f>
      </c>
      <c r="H1163" s="6" t="s">
        <f>=B1163+H1162</f>
      </c>
      <c r="I1163" s="6" t="s">
        <f>=G1163*H1162</f>
      </c>
    </row>
    <row collapsed="false" customFormat="false" customHeight="false" hidden="false" ht="12.1" outlineLevel="0" r="1164">
      <c r="A1164" s="13" t="n">
        <v>45905</v>
      </c>
      <c r="B1164" s="6" t="n">
        <v>-19.11</v>
      </c>
      <c r="C1164" s="6" t="n">
        <v>-19.11</v>
      </c>
      <c r="D1164" s="16" t="s">
        <v>743</v>
      </c>
      <c r="E1164" s="16"/>
      <c r="F1164" s="16"/>
      <c r="G1164" s="6" t="s">
        <f>=A1164-A1163</f>
      </c>
      <c r="H1164" s="6" t="s">
        <f>=B1164+H1163</f>
      </c>
      <c r="I1164" s="6" t="s">
        <f>=G1164*H1163</f>
      </c>
    </row>
    <row collapsed="false" customFormat="false" customHeight="false" hidden="false" ht="12.1" outlineLevel="0" r="1165">
      <c r="A1165" s="13" t="n">
        <v>45905</v>
      </c>
      <c r="B1165" s="6" t="n">
        <v>35.53</v>
      </c>
      <c r="C1165" s="6" t="n">
        <v>35.53</v>
      </c>
      <c r="D1165" s="16" t="s">
        <v>663</v>
      </c>
      <c r="E1165" s="16"/>
      <c r="F1165" s="16"/>
      <c r="G1165" s="6" t="s">
        <f>=A1165-A1164</f>
      </c>
      <c r="H1165" s="6" t="s">
        <f>=B1165+H1164</f>
      </c>
      <c r="I1165" s="6" t="s">
        <f>=G1165*H1164</f>
      </c>
    </row>
    <row collapsed="false" customFormat="false" customHeight="false" hidden="false" ht="12.1" outlineLevel="0" r="1166">
      <c r="A1166" s="13" t="n">
        <v>45905.457627315</v>
      </c>
      <c r="B1166" s="6" t="n">
        <v>3.28</v>
      </c>
      <c r="C1166" s="6" t="n">
        <v>3.28</v>
      </c>
      <c r="D1166" s="16" t="s">
        <v>787</v>
      </c>
      <c r="E1166" s="16"/>
      <c r="F1166" s="16"/>
      <c r="G1166" s="6" t="s">
        <f>=A1166-A1165</f>
      </c>
      <c r="H1166" s="6" t="s">
        <f>=B1166+H1165</f>
      </c>
      <c r="I1166" s="6" t="s">
        <f>=G1166*H1165</f>
      </c>
    </row>
    <row collapsed="false" customFormat="false" customHeight="false" hidden="false" ht="12.1" outlineLevel="0" r="1167">
      <c r="A1167" s="13" t="n">
        <v>45908</v>
      </c>
      <c r="B1167" s="6" t="n">
        <v>-17.45</v>
      </c>
      <c r="C1167" s="6" t="n">
        <v>-17.45</v>
      </c>
      <c r="D1167" s="16" t="s">
        <v>826</v>
      </c>
      <c r="E1167" s="16"/>
      <c r="F1167" s="16"/>
      <c r="G1167" s="6" t="s">
        <f>=A1167-A1166</f>
      </c>
      <c r="H1167" s="6" t="s">
        <f>=B1167+H1166</f>
      </c>
      <c r="I1167" s="6" t="s">
        <f>=G1167*H1166</f>
      </c>
    </row>
    <row collapsed="false" customFormat="false" customHeight="false" hidden="false" ht="12.1" outlineLevel="0" r="1168">
      <c r="A1168" s="13" t="n">
        <v>45908.464259259</v>
      </c>
      <c r="B1168" s="6" t="n">
        <v>19.11</v>
      </c>
      <c r="C1168" s="6" t="n">
        <v>19.11</v>
      </c>
      <c r="D1168" s="16" t="s">
        <v>748</v>
      </c>
      <c r="E1168" s="16"/>
      <c r="F1168" s="16"/>
      <c r="G1168" s="6" t="s">
        <f>=A1168-A1167</f>
      </c>
      <c r="H1168" s="6" t="s">
        <f>=B1168+H1167</f>
      </c>
      <c r="I1168" s="6" t="s">
        <f>=G1168*H1167</f>
      </c>
    </row>
    <row collapsed="false" customFormat="false" customHeight="false" hidden="false" ht="12.1" outlineLevel="0" r="1169">
      <c r="A1169" s="13" t="n">
        <v>45909.597141204</v>
      </c>
      <c r="B1169" s="6" t="n">
        <v>17.45</v>
      </c>
      <c r="C1169" s="6" t="n">
        <v>17.45</v>
      </c>
      <c r="D1169" s="16" t="s">
        <v>745</v>
      </c>
      <c r="E1169" s="16"/>
      <c r="F1169" s="16"/>
      <c r="G1169" s="6" t="s">
        <f>=A1169-A1168</f>
      </c>
      <c r="H1169" s="6" t="s">
        <f>=B1169+H1168</f>
      </c>
      <c r="I1169" s="6" t="s">
        <f>=G1169*H1168</f>
      </c>
    </row>
    <row collapsed="false" customFormat="false" customHeight="false" hidden="false" ht="12.1" outlineLevel="0" r="1170">
      <c r="A1170" s="13" t="n">
        <v>45912</v>
      </c>
      <c r="B1170" s="6" t="n">
        <v>-35.66</v>
      </c>
      <c r="C1170" s="6" t="n">
        <v>-35.66</v>
      </c>
      <c r="D1170" s="16" t="s">
        <v>701</v>
      </c>
      <c r="E1170" s="16"/>
      <c r="F1170" s="16"/>
      <c r="G1170" s="6" t="s">
        <f>=A1170-A1169</f>
      </c>
      <c r="H1170" s="6" t="s">
        <f>=B1170+H1169</f>
      </c>
      <c r="I1170" s="6" t="s">
        <f>=G1170*H1169</f>
      </c>
    </row>
    <row collapsed="false" customFormat="false" customHeight="false" hidden="false" ht="12.1" outlineLevel="0" r="1171">
      <c r="A1171" s="13" t="n">
        <v>45915.426516204</v>
      </c>
      <c r="B1171" s="6" t="n">
        <v>35.66</v>
      </c>
      <c r="C1171" s="6" t="n">
        <v>35.66</v>
      </c>
      <c r="D1171" s="16" t="s">
        <v>702</v>
      </c>
      <c r="E1171" s="16"/>
      <c r="F1171" s="16"/>
      <c r="G1171" s="6" t="s">
        <f>=A1171-A1170</f>
      </c>
      <c r="H1171" s="6" t="s">
        <f>=B1171+H1170</f>
      </c>
      <c r="I1171" s="6" t="s">
        <f>=G1171*H1170</f>
      </c>
    </row>
    <row collapsed="false" customFormat="false" customHeight="false" hidden="false" ht="12.1" outlineLevel="0" r="1172">
      <c r="A1172" s="13" t="n">
        <v>45916</v>
      </c>
      <c r="B1172" s="6" t="n">
        <v>-39.39</v>
      </c>
      <c r="C1172" s="6" t="n">
        <v>-39.39</v>
      </c>
      <c r="D1172" s="16" t="s">
        <v>399</v>
      </c>
      <c r="E1172" s="16"/>
      <c r="F1172" s="16"/>
      <c r="G1172" s="6" t="s">
        <f>=A1172-A1171</f>
      </c>
      <c r="H1172" s="6" t="s">
        <f>=B1172+H1171</f>
      </c>
      <c r="I1172" s="6" t="s">
        <f>=G1172*H1171</f>
      </c>
    </row>
    <row collapsed="false" customFormat="false" customHeight="false" hidden="false" ht="12.1" outlineLevel="0" r="1173">
      <c r="A1173" s="13" t="n">
        <v>45917</v>
      </c>
      <c r="B1173" s="6" t="n">
        <v>-411.88</v>
      </c>
      <c r="C1173" s="6" t="n">
        <v>-411.88</v>
      </c>
      <c r="D1173" s="16" t="s">
        <v>703</v>
      </c>
      <c r="E1173" s="16"/>
      <c r="F1173" s="16"/>
      <c r="G1173" s="6" t="s">
        <f>=A1173-A1172</f>
      </c>
      <c r="H1173" s="6" t="s">
        <f>=B1173+H1172</f>
      </c>
      <c r="I1173" s="6" t="s">
        <f>=G1173*H1172</f>
      </c>
    </row>
    <row collapsed="false" customFormat="false" customHeight="false" hidden="false" ht="12.1" outlineLevel="0" r="1174">
      <c r="A1174" s="13" t="n">
        <v>45917</v>
      </c>
      <c r="B1174" s="6" t="n">
        <v>-16.86</v>
      </c>
      <c r="C1174" s="6" t="n">
        <v>-16.86</v>
      </c>
      <c r="D1174" s="16" t="s">
        <v>827</v>
      </c>
      <c r="E1174" s="16"/>
      <c r="F1174" s="16"/>
      <c r="G1174" s="6" t="s">
        <f>=A1174-A1173</f>
      </c>
      <c r="H1174" s="6" t="s">
        <f>=B1174+H1173</f>
      </c>
      <c r="I1174" s="6" t="s">
        <f>=G1174*H1173</f>
      </c>
    </row>
    <row collapsed="false" customFormat="false" customHeight="false" hidden="false" ht="12.1" outlineLevel="0" r="1175">
      <c r="A1175" s="13" t="n">
        <v>45917.509074074</v>
      </c>
      <c r="B1175" s="6" t="n">
        <v>39.39</v>
      </c>
      <c r="C1175" s="6" t="n">
        <v>39.39</v>
      </c>
      <c r="D1175" s="16" t="s">
        <v>402</v>
      </c>
      <c r="E1175" s="16"/>
      <c r="F1175" s="16"/>
      <c r="G1175" s="6" t="s">
        <f>=A1175-A1174</f>
      </c>
      <c r="H1175" s="6" t="s">
        <f>=B1175+H1174</f>
      </c>
      <c r="I1175" s="6" t="s">
        <f>=G1175*H1174</f>
      </c>
    </row>
    <row collapsed="false" customFormat="false" customHeight="false" hidden="false" ht="12.1" outlineLevel="0" r="1176">
      <c r="A1176" s="13" t="n">
        <v>45918.495069444</v>
      </c>
      <c r="B1176" s="6" t="n">
        <v>16.86</v>
      </c>
      <c r="C1176" s="6" t="n">
        <v>16.86</v>
      </c>
      <c r="D1176" s="16" t="s">
        <v>726</v>
      </c>
      <c r="E1176" s="16"/>
      <c r="F1176" s="16"/>
      <c r="G1176" s="6" t="s">
        <f>=A1176-A1175</f>
      </c>
      <c r="H1176" s="6" t="s">
        <f>=B1176+H1175</f>
      </c>
      <c r="I1176" s="6" t="s">
        <f>=G1176*H1175</f>
      </c>
    </row>
    <row collapsed="false" customFormat="false" customHeight="false" hidden="false" ht="12.1" outlineLevel="0" r="1177">
      <c r="A1177" s="13" t="n">
        <v>45918.548043981</v>
      </c>
      <c r="B1177" s="6" t="n">
        <v>411.88</v>
      </c>
      <c r="C1177" s="6" t="n">
        <v>411.88</v>
      </c>
      <c r="D1177" s="16" t="s">
        <v>362</v>
      </c>
      <c r="E1177" s="16"/>
      <c r="F1177" s="16"/>
      <c r="G1177" s="6" t="s">
        <f>=A1177-A1176</f>
      </c>
      <c r="H1177" s="6" t="s">
        <f>=B1177+H1176</f>
      </c>
      <c r="I1177" s="6" t="s">
        <f>=G1177*H1176</f>
      </c>
    </row>
    <row collapsed="false" customFormat="false" customHeight="false" hidden="false" ht="12.1" outlineLevel="0" r="1178">
      <c r="A1178" s="13" t="n">
        <v>45919</v>
      </c>
      <c r="B1178" s="6" t="n">
        <v>-20.96</v>
      </c>
      <c r="C1178" s="6" t="n">
        <v>-20.96</v>
      </c>
      <c r="D1178" s="16" t="s">
        <v>757</v>
      </c>
      <c r="E1178" s="16"/>
      <c r="F1178" s="16"/>
      <c r="G1178" s="6" t="s">
        <f>=A1178-A1177</f>
      </c>
      <c r="H1178" s="6" t="s">
        <f>=B1178+H1177</f>
      </c>
      <c r="I1178" s="6" t="s">
        <f>=G1178*H1177</f>
      </c>
    </row>
    <row collapsed="false" customFormat="false" customHeight="false" hidden="false" ht="12.1" outlineLevel="0" r="1179">
      <c r="A1179" s="13" t="n">
        <v>45920</v>
      </c>
      <c r="B1179" s="6" t="n">
        <v>-11.18</v>
      </c>
      <c r="C1179" s="6" t="n">
        <v>-11.18</v>
      </c>
      <c r="D1179" s="16" t="s">
        <v>613</v>
      </c>
      <c r="E1179" s="16"/>
      <c r="F1179" s="16"/>
      <c r="G1179" s="6" t="s">
        <f>=A1179-A1178</f>
      </c>
      <c r="H1179" s="6" t="s">
        <f>=B1179+H1178</f>
      </c>
      <c r="I1179" s="6" t="s">
        <f>=G1179*H1178</f>
      </c>
    </row>
    <row collapsed="false" customFormat="false" customHeight="false" hidden="false" ht="12.1" outlineLevel="0" r="1180">
      <c r="A1180" s="13" t="n">
        <v>45922</v>
      </c>
      <c r="B1180" s="6" t="n">
        <v>-90.76</v>
      </c>
      <c r="C1180" s="6" t="n">
        <v>-90.76</v>
      </c>
      <c r="D1180" s="16" t="s">
        <v>704</v>
      </c>
      <c r="E1180" s="16"/>
      <c r="F1180" s="16"/>
      <c r="G1180" s="6" t="s">
        <f>=A1180-A1179</f>
      </c>
      <c r="H1180" s="6" t="s">
        <f>=B1180+H1179</f>
      </c>
      <c r="I1180" s="6" t="s">
        <f>=G1180*H1179</f>
      </c>
    </row>
    <row collapsed="false" customFormat="false" customHeight="false" hidden="false" ht="12.1" outlineLevel="0" r="1181">
      <c r="A1181" s="13" t="n">
        <v>45922</v>
      </c>
      <c r="B1181" s="6" t="n">
        <v>-31.4</v>
      </c>
      <c r="C1181" s="6" t="n">
        <v>-31.4</v>
      </c>
      <c r="D1181" s="16" t="s">
        <v>617</v>
      </c>
      <c r="E1181" s="16"/>
      <c r="F1181" s="16"/>
      <c r="G1181" s="6" t="s">
        <f>=A1181-A1180</f>
      </c>
      <c r="H1181" s="6" t="s">
        <f>=B1181+H1180</f>
      </c>
      <c r="I1181" s="6" t="s">
        <f>=G1181*H1180</f>
      </c>
    </row>
    <row collapsed="false" customFormat="false" customHeight="false" hidden="false" ht="12.1" outlineLevel="0" r="1182">
      <c r="A1182" s="13" t="n">
        <v>45922.463483796</v>
      </c>
      <c r="B1182" s="6" t="n">
        <v>20.96</v>
      </c>
      <c r="C1182" s="6" t="n">
        <v>20.96</v>
      </c>
      <c r="D1182" s="16" t="s">
        <v>759</v>
      </c>
      <c r="E1182" s="16"/>
      <c r="F1182" s="16"/>
      <c r="G1182" s="6" t="s">
        <f>=A1182-A1181</f>
      </c>
      <c r="H1182" s="6" t="s">
        <f>=B1182+H1181</f>
      </c>
      <c r="I1182" s="6" t="s">
        <f>=G1182*H1181</f>
      </c>
    </row>
    <row collapsed="false" customFormat="false" customHeight="false" hidden="false" ht="12.1" outlineLevel="0" r="1183">
      <c r="A1183" s="13" t="n">
        <v>45923.536018519</v>
      </c>
      <c r="B1183" s="6" t="n">
        <v>11.18</v>
      </c>
      <c r="C1183" s="6" t="n">
        <v>11.18</v>
      </c>
      <c r="D1183" s="16" t="s">
        <v>616</v>
      </c>
      <c r="E1183" s="16"/>
      <c r="F1183" s="16"/>
      <c r="G1183" s="6" t="s">
        <f>=A1183-A1182</f>
      </c>
      <c r="H1183" s="6" t="s">
        <f>=B1183+H1182</f>
      </c>
      <c r="I1183" s="6" t="s">
        <f>=G1183*H1182</f>
      </c>
    </row>
    <row collapsed="false" customFormat="false" customHeight="false" hidden="false" ht="12.1" outlineLevel="0" r="1184">
      <c r="A1184" s="13" t="n">
        <v>45923.536238426</v>
      </c>
      <c r="B1184" s="6" t="n">
        <v>31.4</v>
      </c>
      <c r="C1184" s="6" t="n">
        <v>31.4</v>
      </c>
      <c r="D1184" s="16" t="s">
        <v>590</v>
      </c>
      <c r="E1184" s="16"/>
      <c r="F1184" s="16"/>
      <c r="G1184" s="6" t="s">
        <f>=A1184-A1183</f>
      </c>
      <c r="H1184" s="6" t="s">
        <f>=B1184+H1183</f>
      </c>
      <c r="I1184" s="6" t="s">
        <f>=G1184*H1183</f>
      </c>
    </row>
    <row collapsed="false" customFormat="false" customHeight="false" hidden="false" ht="12.1" outlineLevel="0" r="1185">
      <c r="A1185" s="13" t="n">
        <v>45923.588217593</v>
      </c>
      <c r="B1185" s="6" t="n">
        <v>90.76</v>
      </c>
      <c r="C1185" s="6" t="n">
        <v>90.76</v>
      </c>
      <c r="D1185" s="16" t="s">
        <v>706</v>
      </c>
      <c r="E1185" s="16"/>
      <c r="F1185" s="16"/>
      <c r="G1185" s="6" t="s">
        <f>=A1185-A1184</f>
      </c>
      <c r="H1185" s="6" t="s">
        <f>=B1185+H1184</f>
      </c>
      <c r="I1185" s="6" t="s">
        <f>=G1185*H1184</f>
      </c>
    </row>
    <row collapsed="false" customFormat="false" customHeight="false" hidden="false" ht="12.1" outlineLevel="0" r="1186">
      <c r="A1186" s="13" t="n">
        <v>45924</v>
      </c>
      <c r="B1186" s="6" t="n">
        <v>-504.9</v>
      </c>
      <c r="C1186" s="6" t="n">
        <v>-504.9</v>
      </c>
      <c r="D1186" s="16" t="s">
        <v>828</v>
      </c>
      <c r="E1186" s="16"/>
      <c r="F1186" s="16"/>
      <c r="G1186" s="6" t="s">
        <f>=A1186-A1185</f>
      </c>
      <c r="H1186" s="6" t="s">
        <f>=B1186+H1185</f>
      </c>
      <c r="I1186" s="6" t="s">
        <f>=G1186*H1185</f>
      </c>
    </row>
    <row collapsed="false" customFormat="false" customHeight="false" hidden="false" ht="12.1" outlineLevel="0" r="1187">
      <c r="A1187" s="13" t="n">
        <v>45924</v>
      </c>
      <c r="B1187" s="6" t="n">
        <v>-538.56</v>
      </c>
      <c r="C1187" s="6" t="n">
        <v>-538.56</v>
      </c>
      <c r="D1187" s="16" t="s">
        <v>829</v>
      </c>
      <c r="E1187" s="16"/>
      <c r="F1187" s="16"/>
      <c r="G1187" s="6" t="s">
        <f>=A1187-A1186</f>
      </c>
      <c r="H1187" s="6" t="s">
        <f>=B1187+H1186</f>
      </c>
      <c r="I1187" s="6" t="s">
        <f>=G1187*H1186</f>
      </c>
    </row>
    <row collapsed="false" customFormat="false" customHeight="false" hidden="false" ht="12.1" outlineLevel="0" r="1188">
      <c r="A1188" s="13" t="n">
        <v>45924</v>
      </c>
      <c r="B1188" s="6" t="n">
        <v>-423.8</v>
      </c>
      <c r="C1188" s="6" t="n">
        <v>-423.8</v>
      </c>
      <c r="D1188" s="16" t="s">
        <v>708</v>
      </c>
      <c r="E1188" s="16"/>
      <c r="F1188" s="16"/>
      <c r="G1188" s="6" t="s">
        <f>=A1188-A1187</f>
      </c>
      <c r="H1188" s="6" t="s">
        <f>=B1188+H1187</f>
      </c>
      <c r="I1188" s="6" t="s">
        <f>=G1188*H1187</f>
      </c>
    </row>
    <row collapsed="false" customFormat="false" customHeight="false" hidden="false" ht="12.1" outlineLevel="0" r="1189">
      <c r="A1189" s="13" t="n">
        <v>45924</v>
      </c>
      <c r="B1189" s="6" t="n">
        <v>-71.24</v>
      </c>
      <c r="C1189" s="6" t="n">
        <v>-71.24</v>
      </c>
      <c r="D1189" s="16" t="s">
        <v>830</v>
      </c>
      <c r="E1189" s="16"/>
      <c r="F1189" s="16"/>
      <c r="G1189" s="6" t="s">
        <f>=A1189-A1188</f>
      </c>
      <c r="H1189" s="6" t="s">
        <f>=B1189+H1188</f>
      </c>
      <c r="I1189" s="6" t="s">
        <f>=G1189*H1188</f>
      </c>
    </row>
    <row collapsed="false" customFormat="false" customHeight="false" hidden="false" ht="12.1" outlineLevel="0" r="1190">
      <c r="A1190" s="13" t="n">
        <v>45924.694328704</v>
      </c>
      <c r="B1190" s="6" t="n">
        <v>504.9</v>
      </c>
      <c r="C1190" s="6" t="n">
        <v>504.9</v>
      </c>
      <c r="D1190" s="16" t="s">
        <v>527</v>
      </c>
      <c r="E1190" s="16"/>
      <c r="F1190" s="16"/>
      <c r="G1190" s="6" t="s">
        <f>=A1190-A1189</f>
      </c>
      <c r="H1190" s="6" t="s">
        <f>=B1190+H1189</f>
      </c>
      <c r="I1190" s="6" t="s">
        <f>=G1190*H1189</f>
      </c>
    </row>
    <row collapsed="false" customFormat="false" customHeight="false" hidden="false" ht="12.1" outlineLevel="0" r="1191">
      <c r="A1191" s="13" t="n">
        <v>45924.707395833</v>
      </c>
      <c r="B1191" s="6" t="n">
        <v>538.56</v>
      </c>
      <c r="C1191" s="6" t="n">
        <v>538.56</v>
      </c>
      <c r="D1191" s="16" t="s">
        <v>711</v>
      </c>
      <c r="E1191" s="16"/>
      <c r="F1191" s="16"/>
      <c r="G1191" s="6" t="s">
        <f>=A1191-A1190</f>
      </c>
      <c r="H1191" s="6" t="s">
        <f>=B1191+H1190</f>
      </c>
      <c r="I1191" s="6" t="s">
        <f>=G1191*H1190</f>
      </c>
    </row>
    <row collapsed="false" customFormat="false" customHeight="false" hidden="false" ht="12.1" outlineLevel="0" r="1192">
      <c r="A1192" s="13" t="n">
        <v>45924.73150463</v>
      </c>
      <c r="B1192" s="6" t="n">
        <v>423.8</v>
      </c>
      <c r="C1192" s="6" t="n">
        <v>423.8</v>
      </c>
      <c r="D1192" s="16" t="s">
        <v>528</v>
      </c>
      <c r="E1192" s="16"/>
      <c r="F1192" s="16"/>
      <c r="G1192" s="6" t="s">
        <f>=A1192-A1191</f>
      </c>
      <c r="H1192" s="6" t="s">
        <f>=B1192+H1191</f>
      </c>
      <c r="I1192" s="6" t="s">
        <f>=G1192*H1191</f>
      </c>
    </row>
    <row collapsed="false" customFormat="false" customHeight="false" hidden="false" ht="12.1" outlineLevel="0" r="1193">
      <c r="A1193" s="13" t="n">
        <v>45924.735266204</v>
      </c>
      <c r="B1193" s="6" t="n">
        <v>71.24</v>
      </c>
      <c r="C1193" s="6" t="n">
        <v>71.24</v>
      </c>
      <c r="D1193" s="16" t="s">
        <v>404</v>
      </c>
      <c r="E1193" s="16"/>
      <c r="F1193" s="16"/>
      <c r="G1193" s="6" t="s">
        <f>=A1193-A1192</f>
      </c>
      <c r="H1193" s="6" t="s">
        <f>=B1193+H1192</f>
      </c>
      <c r="I1193" s="6" t="s">
        <f>=G1193*H1192</f>
      </c>
    </row>
    <row collapsed="false" customFormat="false" customHeight="false" hidden="false" ht="12.1" outlineLevel="0" r="1194">
      <c r="A1194" s="13" t="n">
        <v>45926</v>
      </c>
      <c r="B1194" s="6" t="n">
        <v>-52.36</v>
      </c>
      <c r="C1194" s="6" t="n">
        <v>-52.36</v>
      </c>
      <c r="D1194" s="16" t="s">
        <v>712</v>
      </c>
      <c r="E1194" s="16"/>
      <c r="F1194" s="16"/>
      <c r="G1194" s="6" t="s">
        <f>=A1194-A1193</f>
      </c>
      <c r="H1194" s="6" t="s">
        <f>=B1194+H1193</f>
      </c>
      <c r="I1194" s="6" t="s">
        <f>=G1194*H1193</f>
      </c>
    </row>
    <row collapsed="false" customFormat="false" customHeight="false" hidden="false" ht="12.1" outlineLevel="0" r="1195">
      <c r="A1195" s="13" t="n">
        <v>45926</v>
      </c>
      <c r="B1195" s="6" t="n">
        <v>-19.48</v>
      </c>
      <c r="C1195" s="6" t="n">
        <v>-19.48</v>
      </c>
      <c r="D1195" s="16" t="s">
        <v>763</v>
      </c>
      <c r="E1195" s="16"/>
      <c r="F1195" s="16"/>
      <c r="G1195" s="6" t="s">
        <f>=A1195-A1194</f>
      </c>
      <c r="H1195" s="6" t="s">
        <f>=B1195+H1194</f>
      </c>
      <c r="I1195" s="6" t="s">
        <f>=G1195*H1194</f>
      </c>
    </row>
    <row collapsed="false" customFormat="false" customHeight="false" hidden="false" ht="12.1" outlineLevel="0" r="1196">
      <c r="A1196" s="13" t="n">
        <v>45926.717905093</v>
      </c>
      <c r="B1196" s="6" t="n">
        <v>19.48</v>
      </c>
      <c r="C1196" s="6" t="n">
        <v>19.48</v>
      </c>
      <c r="D1196" s="16" t="s">
        <v>764</v>
      </c>
      <c r="E1196" s="16"/>
      <c r="F1196" s="16"/>
      <c r="G1196" s="6" t="s">
        <f>=A1196-A1195</f>
      </c>
      <c r="H1196" s="6" t="s">
        <f>=B1196+H1195</f>
      </c>
      <c r="I1196" s="6" t="s">
        <f>=G1196*H1195</f>
      </c>
    </row>
    <row collapsed="false" customFormat="false" customHeight="false" hidden="false" ht="12.1" outlineLevel="0" r="1197">
      <c r="A1197" s="13" t="n">
        <v>45926.735543981</v>
      </c>
      <c r="B1197" s="6" t="n">
        <v>52.36</v>
      </c>
      <c r="C1197" s="6" t="n">
        <v>52.36</v>
      </c>
      <c r="D1197" s="16" t="s">
        <v>715</v>
      </c>
      <c r="E1197" s="16"/>
      <c r="F1197" s="16"/>
      <c r="G1197" s="6" t="s">
        <f>=A1197-A1196</f>
      </c>
      <c r="H1197" s="6" t="s">
        <f>=B1197+H1196</f>
      </c>
      <c r="I1197" s="6" t="s">
        <f>=G1197*H1196</f>
      </c>
    </row>
    <row collapsed="false" customFormat="false" customHeight="false" hidden="false" ht="12.1" outlineLevel="0" r="1198">
      <c r="A1198" s="13" t="n">
        <v>45929</v>
      </c>
      <c r="B1198" s="6" t="n">
        <v>-160</v>
      </c>
      <c r="C1198" s="6" t="n">
        <v>-160</v>
      </c>
      <c r="D1198" s="16" t="s">
        <v>831</v>
      </c>
      <c r="E1198" s="16"/>
      <c r="F1198" s="16"/>
      <c r="G1198" s="6" t="s">
        <f>=A1198-A1197</f>
      </c>
      <c r="H1198" s="6" t="s">
        <f>=B1198+H1197</f>
      </c>
      <c r="I1198" s="6" t="s">
        <f>=G1198*H1197</f>
      </c>
    </row>
    <row collapsed="false" customFormat="false" customHeight="false" hidden="false" ht="12.1" outlineLevel="0" r="1199">
      <c r="A1199" s="13" t="n">
        <v>45930</v>
      </c>
      <c r="B1199" s="6" t="n">
        <v>-16.42</v>
      </c>
      <c r="C1199" s="6" t="n">
        <v>-16.42</v>
      </c>
      <c r="D1199" s="16" t="s">
        <v>832</v>
      </c>
      <c r="E1199" s="16"/>
      <c r="F1199" s="16"/>
      <c r="G1199" s="6" t="s">
        <f>=A1199-A1198</f>
      </c>
      <c r="H1199" s="6" t="s">
        <f>=B1199+H1198</f>
      </c>
      <c r="I1199" s="6" t="s">
        <f>=G1199*H1198</f>
      </c>
    </row>
    <row collapsed="false" customFormat="false" customHeight="false" hidden="false" ht="12.1" outlineLevel="0" r="1200">
      <c r="A1200" s="13" t="n">
        <v>45931</v>
      </c>
      <c r="B1200" s="6" t="n">
        <v>-652.63</v>
      </c>
      <c r="C1200" s="6" t="n">
        <v>-652.63</v>
      </c>
      <c r="D1200" s="16" t="s">
        <v>716</v>
      </c>
      <c r="E1200" s="16"/>
      <c r="F1200" s="16"/>
      <c r="G1200" s="6" t="s">
        <f>=A1200-A1199</f>
      </c>
      <c r="H1200" s="6" t="s">
        <f>=B1200+H1199</f>
      </c>
      <c r="I1200" s="6" t="s">
        <f>=G1200*H1199</f>
      </c>
    </row>
    <row collapsed="false" customFormat="false" customHeight="false" hidden="false" ht="12.1" outlineLevel="0" r="1201">
      <c r="A1201" s="13" t="n">
        <v>45931</v>
      </c>
      <c r="B1201" s="6" t="n">
        <v>-460.68</v>
      </c>
      <c r="C1201" s="6" t="n">
        <v>-460.68</v>
      </c>
      <c r="D1201" s="16" t="s">
        <v>833</v>
      </c>
      <c r="E1201" s="16"/>
      <c r="F1201" s="16"/>
      <c r="G1201" s="6" t="s">
        <f>=A1201-A1200</f>
      </c>
      <c r="H1201" s="6" t="s">
        <f>=B1201+H1200</f>
      </c>
      <c r="I1201" s="6" t="s">
        <f>=G1201*H1200</f>
      </c>
    </row>
    <row collapsed="false" customFormat="false" customHeight="false" hidden="false" ht="12.1" outlineLevel="0" r="1202">
      <c r="A1202" s="13" t="n">
        <v>45931.492511574</v>
      </c>
      <c r="B1202" s="6" t="n">
        <v>16.42</v>
      </c>
      <c r="C1202" s="6" t="n">
        <v>16.42</v>
      </c>
      <c r="D1202" s="16" t="s">
        <v>520</v>
      </c>
      <c r="E1202" s="16"/>
      <c r="F1202" s="16"/>
      <c r="G1202" s="6" t="s">
        <f>=A1202-A1201</f>
      </c>
      <c r="H1202" s="6" t="s">
        <f>=B1202+H1201</f>
      </c>
      <c r="I1202" s="6" t="s">
        <f>=G1202*H1201</f>
      </c>
    </row>
    <row collapsed="false" customFormat="false" customHeight="false" hidden="false" ht="12.1" outlineLevel="0" r="1203">
      <c r="A1203" s="13" t="n">
        <v>45931.522685185</v>
      </c>
      <c r="B1203" s="6" t="n">
        <v>11600</v>
      </c>
      <c r="C1203" s="6" t="n">
        <v>11600</v>
      </c>
      <c r="D1203" s="16" t="s">
        <v>350</v>
      </c>
      <c r="E1203" s="16"/>
      <c r="F1203" s="16"/>
      <c r="G1203" s="6" t="s">
        <f>=A1203-A1202</f>
      </c>
      <c r="H1203" s="6" t="s">
        <f>=B1203+H1202</f>
      </c>
      <c r="I1203" s="6" t="s">
        <f>=G1203*H1202</f>
      </c>
    </row>
    <row collapsed="false" customFormat="false" customHeight="false" hidden="false" ht="12.1" outlineLevel="0" r="1204">
      <c r="A1204" s="13" t="n">
        <v>45932.435891204</v>
      </c>
      <c r="B1204" s="6" t="n">
        <v>460.68</v>
      </c>
      <c r="C1204" s="6" t="n">
        <v>460.68</v>
      </c>
      <c r="D1204" s="16" t="s">
        <v>407</v>
      </c>
      <c r="E1204" s="16"/>
      <c r="F1204" s="16"/>
      <c r="G1204" s="6" t="s">
        <f>=A1204-A1203</f>
      </c>
      <c r="H1204" s="6" t="s">
        <f>=B1204+H1203</f>
      </c>
      <c r="I1204" s="6" t="s">
        <f>=G1204*H1203</f>
      </c>
    </row>
    <row collapsed="false" customFormat="false" customHeight="false" hidden="false" ht="12.1" outlineLevel="0" r="1205">
      <c r="A1205" s="13" t="n">
        <v>45932.441388889</v>
      </c>
      <c r="B1205" s="6" t="n">
        <v>652.63</v>
      </c>
      <c r="C1205" s="6" t="n">
        <v>652.63</v>
      </c>
      <c r="D1205" s="16" t="s">
        <v>408</v>
      </c>
      <c r="E1205" s="16"/>
      <c r="F1205" s="16"/>
      <c r="G1205" s="6" t="s">
        <f>=A1205-A1204</f>
      </c>
      <c r="H1205" s="6" t="s">
        <f>=B1205+H1204</f>
      </c>
      <c r="I1205" s="6" t="s">
        <f>=G1205*H1204</f>
      </c>
    </row>
    <row collapsed="false" customFormat="false" customHeight="false" hidden="false" ht="12.1" outlineLevel="0" r="1206">
      <c r="A1206" s="13" t="n">
        <v>45933</v>
      </c>
      <c r="B1206" s="6" t="n">
        <v>-32.96</v>
      </c>
      <c r="C1206" s="6" t="n">
        <v>-32.96</v>
      </c>
      <c r="D1206" s="16" t="s">
        <v>834</v>
      </c>
      <c r="E1206" s="16"/>
      <c r="F1206" s="16"/>
      <c r="G1206" s="6" t="s">
        <f>=A1206-A1205</f>
      </c>
      <c r="H1206" s="6" t="s">
        <f>=B1206+H1205</f>
      </c>
      <c r="I1206" s="6" t="s">
        <f>=G1206*H1205</f>
      </c>
    </row>
    <row collapsed="false" customFormat="false" customHeight="false" hidden="false" ht="12.1" outlineLevel="0" r="1207">
      <c r="A1207" s="13" t="n">
        <v>45933.619861111</v>
      </c>
      <c r="B1207" s="6" t="n">
        <v>160</v>
      </c>
      <c r="C1207" s="6" t="n">
        <v>160</v>
      </c>
      <c r="D1207" s="16" t="s">
        <v>835</v>
      </c>
      <c r="E1207" s="16"/>
      <c r="F1207" s="16"/>
      <c r="G1207" s="6" t="s">
        <f>=A1207-A1206</f>
      </c>
      <c r="H1207" s="6" t="s">
        <f>=B1207+H1206</f>
      </c>
      <c r="I1207" s="6" t="s">
        <f>=G1207*H1206</f>
      </c>
    </row>
    <row collapsed="false" customFormat="false" customHeight="false" hidden="false" ht="12.1" outlineLevel="0" r="1208">
      <c r="A1208" s="13" t="n">
        <v>45934</v>
      </c>
      <c r="B1208" s="6" t="n">
        <v>-3.28</v>
      </c>
      <c r="C1208" s="6" t="n">
        <v>-3.28</v>
      </c>
      <c r="D1208" s="16" t="s">
        <v>784</v>
      </c>
      <c r="E1208" s="16"/>
      <c r="F1208" s="16"/>
      <c r="G1208" s="6" t="s">
        <f>=A1208-A1207</f>
      </c>
      <c r="H1208" s="6" t="s">
        <f>=B1208+H1207</f>
      </c>
      <c r="I1208" s="6" t="s">
        <f>=G1208*H1207</f>
      </c>
    </row>
    <row collapsed="false" customFormat="false" customHeight="false" hidden="false" ht="12.1" outlineLevel="0" r="1209">
      <c r="A1209" s="13" t="n">
        <v>45935</v>
      </c>
      <c r="B1209" s="6" t="n">
        <v>-19.11</v>
      </c>
      <c r="C1209" s="6" t="n">
        <v>-19.11</v>
      </c>
      <c r="D1209" s="16" t="s">
        <v>743</v>
      </c>
      <c r="E1209" s="16"/>
      <c r="F1209" s="16"/>
      <c r="G1209" s="6" t="s">
        <f>=A1209-A1208</f>
      </c>
      <c r="H1209" s="6" t="s">
        <f>=B1209+H1208</f>
      </c>
      <c r="I1209" s="6" t="s">
        <f>=G1209*H1208</f>
      </c>
    </row>
    <row collapsed="false" customFormat="false" customHeight="false" hidden="false" ht="12.1" outlineLevel="0" r="1210">
      <c r="A1210" s="13" t="n">
        <v>45936</v>
      </c>
      <c r="B1210" s="6" t="n">
        <v>-245</v>
      </c>
      <c r="C1210" s="6" t="n">
        <v>-245</v>
      </c>
      <c r="D1210" s="16" t="s">
        <v>836</v>
      </c>
      <c r="E1210" s="16"/>
      <c r="F1210" s="16"/>
      <c r="G1210" s="6" t="s">
        <f>=A1210-A1209</f>
      </c>
      <c r="H1210" s="6" t="s">
        <f>=B1210+H1209</f>
      </c>
      <c r="I1210" s="6" t="s">
        <f>=G1210*H1209</f>
      </c>
    </row>
    <row collapsed="false" customFormat="false" customHeight="false" hidden="false" ht="12.1" outlineLevel="0" r="1211">
      <c r="A1211" s="13" t="n">
        <v>45936</v>
      </c>
      <c r="B1211" s="6" t="n">
        <v>-35.5</v>
      </c>
      <c r="C1211" s="6" t="n">
        <v>-35.5</v>
      </c>
      <c r="D1211" s="16" t="s">
        <v>624</v>
      </c>
      <c r="E1211" s="16"/>
      <c r="F1211" s="16"/>
      <c r="G1211" s="6" t="s">
        <f>=A1211-A1210</f>
      </c>
      <c r="H1211" s="6" t="s">
        <f>=B1211+H1210</f>
      </c>
      <c r="I1211" s="6" t="s">
        <f>=G1211*H1210</f>
      </c>
    </row>
    <row collapsed="false" customFormat="false" customHeight="false" hidden="false" ht="12.1" outlineLevel="0" r="1212">
      <c r="A1212" s="13" t="n">
        <v>45936</v>
      </c>
      <c r="B1212" s="6" t="n">
        <v>-166.1</v>
      </c>
      <c r="C1212" s="6" t="n">
        <v>-166.1</v>
      </c>
      <c r="D1212" s="16" t="s">
        <v>837</v>
      </c>
      <c r="E1212" s="16"/>
      <c r="F1212" s="16"/>
      <c r="G1212" s="6" t="s">
        <f>=A1212-A1211</f>
      </c>
      <c r="H1212" s="6" t="s">
        <f>=B1212+H1211</f>
      </c>
      <c r="I1212" s="6" t="s">
        <f>=G1212*H1211</f>
      </c>
    </row>
    <row collapsed="false" customFormat="false" customHeight="false" hidden="false" ht="12.1" outlineLevel="0" r="1213">
      <c r="A1213" s="13" t="n">
        <v>45936.445324074</v>
      </c>
      <c r="B1213" s="6" t="n">
        <v>32.96</v>
      </c>
      <c r="C1213" s="6" t="n">
        <v>32.96</v>
      </c>
      <c r="D1213" s="16" t="s">
        <v>454</v>
      </c>
      <c r="E1213" s="16"/>
      <c r="F1213" s="16"/>
      <c r="G1213" s="6" t="s">
        <f>=A1213-A1212</f>
      </c>
      <c r="H1213" s="6" t="s">
        <f>=B1213+H1212</f>
      </c>
      <c r="I1213" s="6" t="s">
        <f>=G1213*H1212</f>
      </c>
    </row>
    <row collapsed="false" customFormat="false" customHeight="false" hidden="false" ht="12.1" outlineLevel="0" r="1214">
      <c r="A1214" s="13" t="n">
        <v>45937.428715278</v>
      </c>
      <c r="B1214" s="6" t="n">
        <v>19.11</v>
      </c>
      <c r="C1214" s="6" t="n">
        <v>19.11</v>
      </c>
      <c r="D1214" s="16" t="s">
        <v>748</v>
      </c>
      <c r="E1214" s="16"/>
      <c r="F1214" s="16"/>
      <c r="G1214" s="6" t="s">
        <f>=A1214-A1213</f>
      </c>
      <c r="H1214" s="6" t="s">
        <f>=B1214+H1213</f>
      </c>
      <c r="I1214" s="6" t="s">
        <f>=G1214*H1213</f>
      </c>
    </row>
    <row collapsed="false" customFormat="false" customHeight="false" hidden="false" ht="12.1" outlineLevel="0" r="1215">
      <c r="A1215" s="13" t="n">
        <v>45937.456678241</v>
      </c>
      <c r="B1215" s="6" t="n">
        <v>3.28</v>
      </c>
      <c r="C1215" s="6" t="n">
        <v>3.28</v>
      </c>
      <c r="D1215" s="16" t="s">
        <v>787</v>
      </c>
      <c r="E1215" s="16"/>
      <c r="F1215" s="16"/>
      <c r="G1215" s="6" t="s">
        <f>=A1215-A1214</f>
      </c>
      <c r="H1215" s="6" t="s">
        <f>=B1215+H1214</f>
      </c>
      <c r="I1215" s="6" t="s">
        <f>=G1215*H1214</f>
      </c>
    </row>
    <row collapsed="false" customFormat="false" customHeight="false" hidden="false" ht="12.1" outlineLevel="0" r="1216">
      <c r="A1216" s="13" t="n">
        <v>45938</v>
      </c>
      <c r="B1216" s="6" t="n">
        <v>-550.25</v>
      </c>
      <c r="C1216" s="6" t="n">
        <v>-550.25</v>
      </c>
      <c r="D1216" s="16" t="s">
        <v>838</v>
      </c>
      <c r="E1216" s="16"/>
      <c r="F1216" s="16"/>
      <c r="G1216" s="6" t="s">
        <f>=A1216-A1215</f>
      </c>
      <c r="H1216" s="6" t="s">
        <f>=B1216+H1215</f>
      </c>
      <c r="I1216" s="6" t="s">
        <f>=G1216*H1215</f>
      </c>
    </row>
    <row collapsed="false" customFormat="false" customHeight="false" hidden="false" ht="12.1" outlineLevel="0" r="1217">
      <c r="A1217" s="13" t="n">
        <v>45938</v>
      </c>
      <c r="B1217" s="6" t="n">
        <v>-598.4</v>
      </c>
      <c r="C1217" s="6" t="n">
        <v>-598.4</v>
      </c>
      <c r="D1217" s="16" t="s">
        <v>839</v>
      </c>
      <c r="E1217" s="16"/>
      <c r="F1217" s="16"/>
      <c r="G1217" s="6" t="s">
        <f>=A1217-A1216</f>
      </c>
      <c r="H1217" s="6" t="s">
        <f>=B1217+H1216</f>
      </c>
      <c r="I1217" s="6" t="s">
        <f>=G1217*H1216</f>
      </c>
    </row>
    <row collapsed="false" customFormat="false" customHeight="false" hidden="false" ht="12.1" outlineLevel="0" r="1218">
      <c r="A1218" s="13" t="n">
        <v>45938</v>
      </c>
      <c r="B1218" s="6" t="n">
        <v>245</v>
      </c>
      <c r="C1218" s="6" t="n">
        <v>245</v>
      </c>
      <c r="D1218" s="16" t="s">
        <v>758</v>
      </c>
      <c r="E1218" s="16"/>
      <c r="F1218" s="16"/>
      <c r="G1218" s="6" t="s">
        <f>=A1218-A1217</f>
      </c>
      <c r="H1218" s="6" t="s">
        <f>=B1218+H1217</f>
      </c>
      <c r="I1218" s="6" t="s">
        <f>=G1218*H1217</f>
      </c>
    </row>
    <row collapsed="false" customFormat="false" customHeight="false" hidden="false" ht="12.1" outlineLevel="0" r="1219">
      <c r="A1219" s="13" t="n">
        <v>45938.774189815</v>
      </c>
      <c r="B1219" s="6" t="n">
        <v>598.4</v>
      </c>
      <c r="C1219" s="6" t="n">
        <v>598.4</v>
      </c>
      <c r="D1219" s="16" t="s">
        <v>721</v>
      </c>
      <c r="E1219" s="16"/>
      <c r="F1219" s="16"/>
      <c r="G1219" s="6" t="s">
        <f>=A1219-A1218</f>
      </c>
      <c r="H1219" s="6" t="s">
        <f>=B1219+H1218</f>
      </c>
      <c r="I1219" s="6" t="s">
        <f>=G1219*H1218</f>
      </c>
    </row>
    <row collapsed="false" customFormat="false" customHeight="false" hidden="false" ht="12.1" outlineLevel="0" r="1220">
      <c r="A1220" s="13" t="n">
        <v>45939</v>
      </c>
      <c r="B1220" s="6" t="n">
        <v>-16.18</v>
      </c>
      <c r="C1220" s="6" t="n">
        <v>-16.18</v>
      </c>
      <c r="D1220" s="16" t="s">
        <v>840</v>
      </c>
      <c r="E1220" s="16"/>
      <c r="F1220" s="16"/>
      <c r="G1220" s="6" t="s">
        <f>=A1220-A1219</f>
      </c>
      <c r="H1220" s="6" t="s">
        <f>=B1220+H1219</f>
      </c>
      <c r="I1220" s="6" t="s">
        <f>=G1220*H1219</f>
      </c>
    </row>
    <row collapsed="false" customFormat="false" customHeight="false" hidden="false" ht="12.1" outlineLevel="0" r="1221">
      <c r="A1221" s="13" t="n">
        <v>45939.532083333</v>
      </c>
      <c r="B1221" s="6" t="n">
        <v>550.25</v>
      </c>
      <c r="C1221" s="6" t="n">
        <v>550.25</v>
      </c>
      <c r="D1221" s="16" t="s">
        <v>410</v>
      </c>
      <c r="E1221" s="16"/>
      <c r="F1221" s="16"/>
      <c r="G1221" s="6" t="s">
        <f>=A1221-A1220</f>
      </c>
      <c r="H1221" s="6" t="s">
        <f>=B1221+H1220</f>
      </c>
      <c r="I1221" s="6" t="s">
        <f>=G1221*H1220</f>
      </c>
    </row>
    <row collapsed="false" customFormat="false" customHeight="false" hidden="false" ht="12.1" outlineLevel="0" r="1222">
      <c r="A1222" s="13" t="n">
        <v>45939.607627315</v>
      </c>
      <c r="B1222" s="6" t="n">
        <v>166.1</v>
      </c>
      <c r="C1222" s="6" t="n">
        <v>166.1</v>
      </c>
      <c r="D1222" s="16" t="s">
        <v>746</v>
      </c>
      <c r="E1222" s="16"/>
      <c r="F1222" s="16"/>
      <c r="G1222" s="6" t="s">
        <f>=A1222-A1221</f>
      </c>
      <c r="H1222" s="6" t="s">
        <f>=B1222+H1221</f>
      </c>
      <c r="I1222" s="6" t="s">
        <f>=G1222*H1221</f>
      </c>
    </row>
    <row collapsed="false" customFormat="false" customHeight="false" hidden="false" ht="12.1" outlineLevel="0" r="1223">
      <c r="A1223" s="13" t="n">
        <v>45943</v>
      </c>
      <c r="B1223" s="6" t="n">
        <v>-708.5</v>
      </c>
      <c r="C1223" s="6" t="n">
        <v>-708.5</v>
      </c>
      <c r="D1223" s="16" t="s">
        <v>841</v>
      </c>
      <c r="E1223" s="16"/>
      <c r="F1223" s="16"/>
      <c r="G1223" s="6" t="s">
        <f>=A1223-A1222</f>
      </c>
      <c r="H1223" s="6" t="s">
        <f>=B1223+H1222</f>
      </c>
      <c r="I1223" s="6" t="s">
        <f>=G1223*H1222</f>
      </c>
    </row>
    <row collapsed="false" customFormat="false" customHeight="false" hidden="false" ht="12.1" outlineLevel="0" r="1224">
      <c r="A1224" s="13" t="n">
        <v>45943.536006944</v>
      </c>
      <c r="B1224" s="6" t="n">
        <v>16.18</v>
      </c>
      <c r="C1224" s="6" t="n">
        <v>16.18</v>
      </c>
      <c r="D1224" s="16" t="s">
        <v>745</v>
      </c>
      <c r="E1224" s="16"/>
      <c r="F1224" s="16"/>
      <c r="G1224" s="6" t="s">
        <f>=A1224-A1223</f>
      </c>
      <c r="H1224" s="6" t="s">
        <f>=B1224+H1223</f>
      </c>
      <c r="I1224" s="6" t="s">
        <f>=G1224*H1223</f>
      </c>
    </row>
    <row collapsed="false" customFormat="false" customHeight="false" hidden="false" ht="12.1" outlineLevel="0" r="1225">
      <c r="A1225" s="13" t="n">
        <v>45944</v>
      </c>
      <c r="B1225" s="6" t="n">
        <v>-49.86</v>
      </c>
      <c r="C1225" s="6" t="n">
        <v>-49.86</v>
      </c>
      <c r="D1225" s="16" t="s">
        <v>791</v>
      </c>
      <c r="E1225" s="16"/>
      <c r="F1225" s="16"/>
      <c r="G1225" s="6" t="s">
        <f>=A1225-A1224</f>
      </c>
      <c r="H1225" s="6" t="s">
        <f>=B1225+H1224</f>
      </c>
      <c r="I1225" s="6" t="s">
        <f>=G1225*H1224</f>
      </c>
    </row>
    <row collapsed="false" customFormat="false" customHeight="false" hidden="false" ht="12.1" outlineLevel="0" r="1226">
      <c r="A1226" s="13" t="n">
        <v>45944</v>
      </c>
      <c r="B1226" s="6" t="n">
        <v>-143.5</v>
      </c>
      <c r="C1226" s="6" t="n">
        <v>-143.5</v>
      </c>
      <c r="D1226" s="16" t="s">
        <v>842</v>
      </c>
      <c r="E1226" s="16"/>
      <c r="F1226" s="16"/>
      <c r="G1226" s="6" t="s">
        <f>=A1226-A1225</f>
      </c>
      <c r="H1226" s="6" t="s">
        <f>=B1226+H1225</f>
      </c>
      <c r="I1226" s="6" t="s">
        <f>=G1226*H1225</f>
      </c>
    </row>
    <row collapsed="false" customFormat="false" customHeight="false" hidden="false" ht="12.1" outlineLevel="0" r="1227">
      <c r="A1227" s="13" t="n">
        <v>45945</v>
      </c>
      <c r="B1227" s="6" t="n">
        <v>-26.18</v>
      </c>
      <c r="C1227" s="6" t="n">
        <v>-26.18</v>
      </c>
      <c r="D1227" s="16" t="s">
        <v>626</v>
      </c>
      <c r="E1227" s="16"/>
      <c r="F1227" s="16"/>
      <c r="G1227" s="6" t="s">
        <f>=A1227-A1226</f>
      </c>
      <c r="H1227" s="6" t="s">
        <f>=B1227+H1226</f>
      </c>
      <c r="I1227" s="6" t="s">
        <f>=G1227*H1226</f>
      </c>
    </row>
    <row collapsed="false" customFormat="false" customHeight="false" hidden="false" ht="12.1" outlineLevel="0" r="1228">
      <c r="A1228" s="13" t="n">
        <v>45945</v>
      </c>
      <c r="B1228" s="6" t="n">
        <v>-495.95</v>
      </c>
      <c r="C1228" s="6" t="n">
        <v>-495.95</v>
      </c>
      <c r="D1228" s="16" t="s">
        <v>725</v>
      </c>
      <c r="E1228" s="16"/>
      <c r="F1228" s="16"/>
      <c r="G1228" s="6" t="s">
        <f>=A1228-A1227</f>
      </c>
      <c r="H1228" s="6" t="s">
        <f>=B1228+H1227</f>
      </c>
      <c r="I1228" s="6" t="s">
        <f>=G1228*H1227</f>
      </c>
    </row>
    <row collapsed="false" customFormat="false" customHeight="false" hidden="false" ht="12.1" outlineLevel="0" r="1229">
      <c r="A1229" s="13" t="n">
        <v>45945</v>
      </c>
      <c r="B1229" s="6" t="n">
        <v>-97.23</v>
      </c>
      <c r="C1229" s="6" t="n">
        <v>-97.23</v>
      </c>
      <c r="D1229" s="16" t="s">
        <v>724</v>
      </c>
      <c r="E1229" s="16"/>
      <c r="F1229" s="16"/>
      <c r="G1229" s="6" t="s">
        <f>=A1229-A1228</f>
      </c>
      <c r="H1229" s="6" t="s">
        <f>=B1229+H1228</f>
      </c>
      <c r="I1229" s="6" t="s">
        <f>=G1229*H1228</f>
      </c>
    </row>
    <row collapsed="false" customFormat="false" customHeight="false" hidden="false" ht="12.1" outlineLevel="0" r="1230">
      <c r="A1230" s="13" t="n">
        <v>45945.429872685</v>
      </c>
      <c r="B1230" s="6" t="n">
        <v>49.86</v>
      </c>
      <c r="C1230" s="6" t="n">
        <v>49.86</v>
      </c>
      <c r="D1230" s="16" t="s">
        <v>727</v>
      </c>
      <c r="E1230" s="16"/>
      <c r="F1230" s="16"/>
      <c r="G1230" s="6" t="s">
        <f>=A1230-A1229</f>
      </c>
      <c r="H1230" s="6" t="s">
        <f>=B1230+H1229</f>
      </c>
      <c r="I1230" s="6" t="s">
        <f>=G1230*H1229</f>
      </c>
    </row>
    <row collapsed="false" customFormat="false" customHeight="false" hidden="false" ht="12.1" outlineLevel="0" r="1231">
      <c r="A1231" s="13" t="n">
        <v>45945.515023148</v>
      </c>
      <c r="B1231" s="6" t="n">
        <v>708.5</v>
      </c>
      <c r="C1231" s="6" t="n">
        <v>708.5</v>
      </c>
      <c r="D1231" s="16" t="s">
        <v>734</v>
      </c>
      <c r="E1231" s="16"/>
      <c r="F1231" s="16"/>
      <c r="G1231" s="6" t="s">
        <f>=A1231-A1230</f>
      </c>
      <c r="H1231" s="6" t="s">
        <f>=B1231+H1230</f>
      </c>
      <c r="I1231" s="6" t="s">
        <f>=G1231*H1230</f>
      </c>
    </row>
    <row collapsed="false" customFormat="false" customHeight="false" hidden="false" ht="12.1" outlineLevel="0" r="1232">
      <c r="A1232" s="13" t="n">
        <v>45946</v>
      </c>
      <c r="B1232" s="6" t="n">
        <v>-86.26</v>
      </c>
      <c r="C1232" s="6" t="n">
        <v>-86.26</v>
      </c>
      <c r="D1232" s="16" t="s">
        <v>798</v>
      </c>
      <c r="E1232" s="16"/>
      <c r="F1232" s="16"/>
      <c r="G1232" s="6" t="s">
        <f>=A1232-A1231</f>
      </c>
      <c r="H1232" s="6" t="s">
        <f>=B1232+H1231</f>
      </c>
      <c r="I1232" s="6" t="s">
        <f>=G1232*H1231</f>
      </c>
    </row>
    <row collapsed="false" customFormat="false" customHeight="false" hidden="false" ht="12.1" outlineLevel="0" r="1233">
      <c r="A1233" s="13" t="n">
        <v>45946.457615741</v>
      </c>
      <c r="B1233" s="6" t="n">
        <v>26.18</v>
      </c>
      <c r="C1233" s="6" t="n">
        <v>26.18</v>
      </c>
      <c r="D1233" s="16" t="s">
        <v>629</v>
      </c>
      <c r="E1233" s="16"/>
      <c r="F1233" s="16"/>
      <c r="G1233" s="6" t="s">
        <f>=A1233-A1232</f>
      </c>
      <c r="H1233" s="6" t="s">
        <f>=B1233+H1232</f>
      </c>
      <c r="I1233" s="6" t="s">
        <f>=G1233*H1232</f>
      </c>
    </row>
    <row collapsed="false" customFormat="false" customHeight="false" hidden="false" ht="12.1" outlineLevel="0" r="1234">
      <c r="A1234" s="13" t="n">
        <v>45946.480347222</v>
      </c>
      <c r="B1234" s="6" t="n">
        <v>495.95</v>
      </c>
      <c r="C1234" s="6" t="n">
        <v>495.95</v>
      </c>
      <c r="D1234" s="16" t="s">
        <v>469</v>
      </c>
      <c r="E1234" s="16"/>
      <c r="F1234" s="16"/>
      <c r="G1234" s="6" t="s">
        <f>=A1234-A1233</f>
      </c>
      <c r="H1234" s="6" t="s">
        <f>=B1234+H1233</f>
      </c>
      <c r="I1234" s="6" t="s">
        <f>=G1234*H1233</f>
      </c>
    </row>
    <row collapsed="false" customFormat="false" customHeight="false" hidden="false" ht="12.1" outlineLevel="0" r="1235">
      <c r="A1235" s="13" t="n">
        <v>45946.490439815</v>
      </c>
      <c r="B1235" s="6" t="n">
        <v>97.23</v>
      </c>
      <c r="C1235" s="6" t="n">
        <v>97.23</v>
      </c>
      <c r="D1235" s="16" t="s">
        <v>728</v>
      </c>
      <c r="E1235" s="16"/>
      <c r="F1235" s="16"/>
      <c r="G1235" s="6" t="s">
        <f>=A1235-A1234</f>
      </c>
      <c r="H1235" s="6" t="s">
        <f>=B1235+H1234</f>
      </c>
      <c r="I1235" s="6" t="s">
        <f>=G1235*H1234</f>
      </c>
    </row>
    <row collapsed="false" customFormat="false" customHeight="false" hidden="false" ht="12.1" outlineLevel="0" r="1236">
      <c r="A1236" s="13" t="n">
        <v>45947.439988426</v>
      </c>
      <c r="B1236" s="6" t="n">
        <v>86.26</v>
      </c>
      <c r="C1236" s="6" t="n">
        <v>86.26</v>
      </c>
      <c r="D1236" s="16" t="s">
        <v>803</v>
      </c>
      <c r="E1236" s="16"/>
      <c r="F1236" s="16"/>
      <c r="G1236" s="6" t="s">
        <f>=A1236-A1235</f>
      </c>
      <c r="H1236" s="6" t="s">
        <f>=B1236+H1235</f>
      </c>
      <c r="I1236" s="6" t="s">
        <f>=G1236*H1235</f>
      </c>
    </row>
    <row collapsed="false" customFormat="false" customHeight="false" hidden="false" ht="12.1" outlineLevel="0" r="1237">
      <c r="A1237" s="13" t="n">
        <v>45948</v>
      </c>
      <c r="B1237" s="6" t="n">
        <v>-16.05</v>
      </c>
      <c r="C1237" s="6" t="n">
        <v>-16.05</v>
      </c>
      <c r="D1237" s="16" t="s">
        <v>843</v>
      </c>
      <c r="E1237" s="16"/>
      <c r="F1237" s="16"/>
      <c r="G1237" s="6" t="s">
        <f>=A1237-A1236</f>
      </c>
      <c r="H1237" s="6" t="s">
        <f>=B1237+H1236</f>
      </c>
      <c r="I1237" s="6" t="s">
        <f>=G1237*H1236</f>
      </c>
    </row>
    <row collapsed="false" customFormat="false" customHeight="false" hidden="false" ht="12.1" outlineLevel="0" r="1238">
      <c r="A1238" s="13" t="n">
        <v>45949</v>
      </c>
      <c r="B1238" s="6" t="n">
        <v>-20.96</v>
      </c>
      <c r="C1238" s="6" t="n">
        <v>-20.96</v>
      </c>
      <c r="D1238" s="16" t="s">
        <v>757</v>
      </c>
      <c r="E1238" s="16"/>
      <c r="F1238" s="16"/>
      <c r="G1238" s="6" t="s">
        <f>=A1238-A1237</f>
      </c>
      <c r="H1238" s="6" t="s">
        <f>=B1238+H1237</f>
      </c>
      <c r="I1238" s="6" t="s">
        <f>=G1238*H1237</f>
      </c>
    </row>
    <row collapsed="false" customFormat="false" customHeight="false" hidden="false" ht="12.1" outlineLevel="0" r="1239">
      <c r="A1239" s="13" t="n">
        <v>45950</v>
      </c>
      <c r="B1239" s="6" t="n">
        <v>-165</v>
      </c>
      <c r="C1239" s="6" t="n">
        <v>-165</v>
      </c>
      <c r="D1239" s="16" t="s">
        <v>675</v>
      </c>
      <c r="E1239" s="16"/>
      <c r="F1239" s="16"/>
      <c r="G1239" s="6" t="s">
        <f>=A1239-A1238</f>
      </c>
      <c r="H1239" s="6" t="s">
        <f>=B1239+H1238</f>
      </c>
      <c r="I1239" s="6" t="s">
        <f>=G1239*H1238</f>
      </c>
    </row>
    <row collapsed="false" customFormat="false" customHeight="false" hidden="false" ht="12.1" outlineLevel="0" r="1240">
      <c r="A1240" s="13" t="n">
        <v>45950</v>
      </c>
      <c r="B1240" s="6" t="n">
        <v>-11.18</v>
      </c>
      <c r="C1240" s="6" t="n">
        <v>-11.18</v>
      </c>
      <c r="D1240" s="16" t="s">
        <v>613</v>
      </c>
      <c r="E1240" s="16"/>
      <c r="F1240" s="16"/>
      <c r="G1240" s="6" t="s">
        <f>=A1240-A1239</f>
      </c>
      <c r="H1240" s="6" t="s">
        <f>=B1240+H1239</f>
      </c>
      <c r="I1240" s="6" t="s">
        <f>=G1240*H1239</f>
      </c>
    </row>
    <row collapsed="false" customFormat="false" customHeight="false" hidden="false" ht="12.1" outlineLevel="0" r="1241">
      <c r="A1241" s="13" t="n">
        <v>45951</v>
      </c>
      <c r="B1241" s="6" t="n">
        <v>-17.31</v>
      </c>
      <c r="C1241" s="6" t="n">
        <v>-17.31</v>
      </c>
      <c r="D1241" s="16" t="s">
        <v>844</v>
      </c>
      <c r="E1241" s="16"/>
      <c r="F1241" s="16"/>
      <c r="G1241" s="6" t="s">
        <f>=A1241-A1240</f>
      </c>
      <c r="H1241" s="6" t="s">
        <f>=B1241+H1240</f>
      </c>
      <c r="I1241" s="6" t="s">
        <f>=G1241*H1240</f>
      </c>
    </row>
    <row collapsed="false" customFormat="false" customHeight="false" hidden="false" ht="12.1" outlineLevel="0" r="1242">
      <c r="A1242" s="13" t="n">
        <v>45951.516770833</v>
      </c>
      <c r="B1242" s="6" t="n">
        <v>20.96</v>
      </c>
      <c r="C1242" s="6" t="n">
        <v>20.96</v>
      </c>
      <c r="D1242" s="16" t="s">
        <v>759</v>
      </c>
      <c r="E1242" s="16"/>
      <c r="F1242" s="16"/>
      <c r="G1242" s="6" t="s">
        <f>=A1242-A1241</f>
      </c>
      <c r="H1242" s="6" t="s">
        <f>=B1242+H1241</f>
      </c>
      <c r="I1242" s="6" t="s">
        <f>=G1242*H1241</f>
      </c>
    </row>
    <row collapsed="false" customFormat="false" customHeight="false" hidden="false" ht="12.1" outlineLevel="0" r="1243">
      <c r="A1243" s="13" t="n">
        <v>45951.586296296</v>
      </c>
      <c r="B1243" s="6" t="n">
        <v>35.5</v>
      </c>
      <c r="C1243" s="6" t="n">
        <v>35.5</v>
      </c>
      <c r="D1243" s="16" t="s">
        <v>367</v>
      </c>
      <c r="E1243" s="16"/>
      <c r="F1243" s="16"/>
      <c r="G1243" s="6" t="s">
        <f>=A1243-A1242</f>
      </c>
      <c r="H1243" s="6" t="s">
        <f>=B1243+H1242</f>
      </c>
      <c r="I1243" s="6" t="s">
        <f>=G1243*H1242</f>
      </c>
    </row>
    <row collapsed="false" customFormat="false" customHeight="false" hidden="false" ht="12.1" outlineLevel="0" r="1244">
      <c r="A1244" s="13" t="n">
        <v>45951.62556713</v>
      </c>
      <c r="B1244" s="6" t="n">
        <v>16.05</v>
      </c>
      <c r="C1244" s="6" t="n">
        <v>16.05</v>
      </c>
      <c r="D1244" s="16" t="s">
        <v>726</v>
      </c>
      <c r="E1244" s="16"/>
      <c r="F1244" s="16"/>
      <c r="G1244" s="6" t="s">
        <f>=A1244-A1243</f>
      </c>
      <c r="H1244" s="6" t="s">
        <f>=B1244+H1243</f>
      </c>
      <c r="I1244" s="6" t="s">
        <f>=G1244*H1243</f>
      </c>
    </row>
    <row collapsed="false" customFormat="false" customHeight="false" hidden="false" ht="12.1" outlineLevel="0" r="1245">
      <c r="A1245" s="13" t="n">
        <v>45951.702118056</v>
      </c>
      <c r="B1245" s="6" t="n">
        <v>11.18</v>
      </c>
      <c r="C1245" s="6" t="n">
        <v>11.18</v>
      </c>
      <c r="D1245" s="16" t="s">
        <v>616</v>
      </c>
      <c r="E1245" s="16"/>
      <c r="F1245" s="16"/>
      <c r="G1245" s="6" t="s">
        <f>=A1245-A1244</f>
      </c>
      <c r="H1245" s="6" t="s">
        <f>=B1245+H1244</f>
      </c>
      <c r="I1245" s="6" t="s">
        <f>=G1245*H1244</f>
      </c>
    </row>
    <row collapsed="false" customFormat="false" customHeight="false" hidden="false" ht="12.1" outlineLevel="0" r="1246">
      <c r="A1246" s="13" t="n">
        <v>45952</v>
      </c>
      <c r="B1246" s="6" t="n">
        <v>-29.76</v>
      </c>
      <c r="C1246" s="6" t="n">
        <v>-29.76</v>
      </c>
      <c r="D1246" s="16" t="s">
        <v>845</v>
      </c>
      <c r="E1246" s="16"/>
      <c r="F1246" s="16"/>
      <c r="G1246" s="6" t="s">
        <f>=A1246-A1245</f>
      </c>
      <c r="H1246" s="6" t="s">
        <f>=B1246+H1245</f>
      </c>
      <c r="I1246" s="6" t="s">
        <f>=G1246*H1245</f>
      </c>
    </row>
    <row collapsed="false" customFormat="false" customHeight="false" hidden="false" ht="12.1" outlineLevel="0" r="1247">
      <c r="A1247" s="13" t="n">
        <v>45952</v>
      </c>
      <c r="B1247" s="6" t="n">
        <v>-47.7</v>
      </c>
      <c r="C1247" s="6" t="n">
        <v>-47.7</v>
      </c>
      <c r="D1247" s="16" t="s">
        <v>846</v>
      </c>
      <c r="E1247" s="16"/>
      <c r="F1247" s="16"/>
      <c r="G1247" s="6" t="s">
        <f>=A1247-A1246</f>
      </c>
      <c r="H1247" s="6" t="s">
        <f>=B1247+H1246</f>
      </c>
      <c r="I1247" s="6" t="s">
        <f>=G1247*H1246</f>
      </c>
    </row>
    <row collapsed="false" customFormat="false" customHeight="false" hidden="false" ht="12.1" outlineLevel="0" r="1248">
      <c r="A1248" s="13" t="n">
        <v>45952.417118056</v>
      </c>
      <c r="B1248" s="6" t="n">
        <v>17.31</v>
      </c>
      <c r="C1248" s="6" t="n">
        <v>17.31</v>
      </c>
      <c r="D1248" s="16" t="s">
        <v>502</v>
      </c>
      <c r="E1248" s="16"/>
      <c r="F1248" s="16"/>
      <c r="G1248" s="6" t="s">
        <f>=A1248-A1247</f>
      </c>
      <c r="H1248" s="6" t="s">
        <f>=B1248+H1247</f>
      </c>
      <c r="I1248" s="6" t="s">
        <f>=G1248*H1247</f>
      </c>
    </row>
    <row collapsed="false" customFormat="false" customHeight="false" hidden="false" ht="12.1" outlineLevel="0" r="1249">
      <c r="A1249" s="13" t="n">
        <v>45952.417939815</v>
      </c>
      <c r="B1249" s="6" t="n">
        <v>165</v>
      </c>
      <c r="C1249" s="6" t="n">
        <v>165</v>
      </c>
      <c r="D1249" s="16" t="s">
        <v>678</v>
      </c>
      <c r="E1249" s="16"/>
      <c r="F1249" s="16"/>
      <c r="G1249" s="6" t="s">
        <f>=A1249-A1248</f>
      </c>
      <c r="H1249" s="6" t="s">
        <f>=B1249+H1248</f>
      </c>
      <c r="I1249" s="6" t="s">
        <f>=G1249*H1248</f>
      </c>
    </row>
    <row collapsed="false" customFormat="false" customHeight="false" hidden="false" ht="12.1" outlineLevel="0" r="1250">
      <c r="A1250" s="13" t="n">
        <v>45953.430300926</v>
      </c>
      <c r="B1250" s="6" t="n">
        <v>47.7</v>
      </c>
      <c r="C1250" s="6" t="n">
        <v>47.7</v>
      </c>
      <c r="D1250" s="16" t="s">
        <v>473</v>
      </c>
      <c r="E1250" s="16"/>
      <c r="F1250" s="16"/>
      <c r="G1250" s="6" t="s">
        <f>=A1250-A1249</f>
      </c>
      <c r="H1250" s="6" t="s">
        <f>=B1250+H1249</f>
      </c>
      <c r="I1250" s="6" t="s">
        <f>=G1250*H1249</f>
      </c>
    </row>
    <row collapsed="false" customFormat="false" customHeight="false" hidden="false" ht="12.1" outlineLevel="0" r="1251">
      <c r="A1251" s="13" t="n">
        <v>45953.448703704</v>
      </c>
      <c r="B1251" s="6" t="n">
        <v>29.76</v>
      </c>
      <c r="C1251" s="6" t="n">
        <v>29.76</v>
      </c>
      <c r="D1251" s="16" t="s">
        <v>590</v>
      </c>
      <c r="E1251" s="16"/>
      <c r="F1251" s="16"/>
      <c r="G1251" s="6" t="s">
        <f>=A1251-A1250</f>
      </c>
      <c r="H1251" s="6" t="s">
        <f>=B1251+H1250</f>
      </c>
      <c r="I1251" s="6" t="s">
        <f>=G1251*H1250</f>
      </c>
    </row>
    <row collapsed="false" customFormat="false" customHeight="false" hidden="false" ht="12.1" outlineLevel="0" r="1252">
      <c r="A1252" s="13" t="n">
        <v>45956</v>
      </c>
      <c r="B1252" s="6" t="n">
        <v>-19.48</v>
      </c>
      <c r="C1252" s="6" t="n">
        <v>-19.48</v>
      </c>
      <c r="D1252" s="16" t="s">
        <v>763</v>
      </c>
      <c r="E1252" s="16"/>
      <c r="F1252" s="16"/>
      <c r="G1252" s="6" t="s">
        <f>=A1252-A1251</f>
      </c>
      <c r="H1252" s="6" t="s">
        <f>=B1252+H1251</f>
      </c>
      <c r="I1252" s="6" t="s">
        <f>=G1252*H1251</f>
      </c>
    </row>
    <row collapsed="false" customFormat="false" customHeight="false" hidden="false" ht="12.1" outlineLevel="0" r="1253">
      <c r="A1253" s="13" t="n">
        <v>45958</v>
      </c>
      <c r="B1253" s="6" t="n">
        <v>-28.22</v>
      </c>
      <c r="C1253" s="6" t="n">
        <v>-28.22</v>
      </c>
      <c r="D1253" s="16" t="s">
        <v>387</v>
      </c>
      <c r="E1253" s="16"/>
      <c r="F1253" s="16"/>
      <c r="G1253" s="6" t="s">
        <f>=A1253-A1252</f>
      </c>
      <c r="H1253" s="6" t="s">
        <f>=B1253+H1252</f>
      </c>
      <c r="I1253" s="6" t="s">
        <f>=G1253*H1252</f>
      </c>
    </row>
    <row collapsed="false" customFormat="false" customHeight="false" hidden="false" ht="12.1" outlineLevel="0" r="1254">
      <c r="A1254" s="13" t="n">
        <v>45958</v>
      </c>
      <c r="B1254" s="6" t="n">
        <v>-58.34</v>
      </c>
      <c r="C1254" s="6" t="n">
        <v>-58.34</v>
      </c>
      <c r="D1254" s="16" t="s">
        <v>635</v>
      </c>
      <c r="E1254" s="16"/>
      <c r="F1254" s="16"/>
      <c r="G1254" s="6" t="s">
        <f>=A1254-A1253</f>
      </c>
      <c r="H1254" s="6" t="s">
        <f>=B1254+H1253</f>
      </c>
      <c r="I1254" s="6" t="s">
        <f>=G1254*H1253</f>
      </c>
    </row>
    <row collapsed="false" customFormat="false" customHeight="false" hidden="false" ht="12.1" outlineLevel="0" r="1255">
      <c r="A1255" s="13" t="n">
        <v>45958.449884259</v>
      </c>
      <c r="B1255" s="6" t="n">
        <v>19.48</v>
      </c>
      <c r="C1255" s="6" t="n">
        <v>19.48</v>
      </c>
      <c r="D1255" s="16" t="s">
        <v>764</v>
      </c>
      <c r="E1255" s="16"/>
      <c r="F1255" s="16"/>
      <c r="G1255" s="6" t="s">
        <f>=A1255-A1254</f>
      </c>
      <c r="H1255" s="6" t="s">
        <f>=B1255+H1254</f>
      </c>
      <c r="I1255" s="6" t="s">
        <f>=G1255*H1254</f>
      </c>
    </row>
    <row collapsed="false" customFormat="false" customHeight="false" hidden="false" ht="12.1" outlineLevel="0" r="1256">
      <c r="A1256" s="13" t="n">
        <v>45959</v>
      </c>
      <c r="B1256" s="6" t="n">
        <v>-43.31</v>
      </c>
      <c r="C1256" s="6" t="n">
        <v>-43.31</v>
      </c>
      <c r="D1256" s="16" t="s">
        <v>847</v>
      </c>
      <c r="E1256" s="16"/>
      <c r="F1256" s="16"/>
      <c r="G1256" s="6" t="s">
        <f>=A1256-A1255</f>
      </c>
      <c r="H1256" s="6" t="s">
        <f>=B1256+H1255</f>
      </c>
      <c r="I1256" s="6" t="s">
        <f>=G1256*H1255</f>
      </c>
    </row>
    <row collapsed="false" customFormat="false" customHeight="false" hidden="false" ht="12.1" outlineLevel="0" r="1257">
      <c r="A1257" s="13" t="n">
        <v>45959</v>
      </c>
      <c r="B1257" s="6" t="n">
        <v>58.34</v>
      </c>
      <c r="C1257" s="6" t="n">
        <v>58.34</v>
      </c>
      <c r="D1257" s="16" t="s">
        <v>595</v>
      </c>
      <c r="E1257" s="16"/>
      <c r="F1257" s="16"/>
      <c r="G1257" s="6" t="s">
        <f>=A1257-A1256</f>
      </c>
      <c r="H1257" s="6" t="s">
        <f>=B1257+H1256</f>
      </c>
      <c r="I1257" s="6" t="s">
        <f>=G1257*H1256</f>
      </c>
    </row>
    <row collapsed="false" customFormat="false" customHeight="false" hidden="false" ht="12.1" outlineLevel="0" r="1258">
      <c r="A1258" s="13" t="n">
        <v>45959.524016204</v>
      </c>
      <c r="B1258" s="6" t="n">
        <v>11820</v>
      </c>
      <c r="C1258" s="6" t="n">
        <v>11820</v>
      </c>
      <c r="D1258" s="16" t="s">
        <v>350</v>
      </c>
      <c r="E1258" s="16"/>
      <c r="F1258" s="16"/>
      <c r="G1258" s="6" t="s">
        <f>=A1258-A1257</f>
      </c>
      <c r="H1258" s="6" t="s">
        <f>=B1258+H1257</f>
      </c>
      <c r="I1258" s="6" t="s">
        <f>=G1258*H1257</f>
      </c>
    </row>
    <row collapsed="false" customFormat="false" customHeight="false" hidden="false" ht="12.1" outlineLevel="0" r="1259">
      <c r="A1259" s="13" t="n">
        <v>45959.532511574</v>
      </c>
      <c r="B1259" s="6" t="n">
        <v>28.22</v>
      </c>
      <c r="C1259" s="6" t="n">
        <v>28.22</v>
      </c>
      <c r="D1259" s="16" t="s">
        <v>390</v>
      </c>
      <c r="E1259" s="16"/>
      <c r="F1259" s="16"/>
      <c r="G1259" s="6" t="s">
        <f>=A1259-A1258</f>
      </c>
      <c r="H1259" s="6" t="s">
        <f>=B1259+H1258</f>
      </c>
      <c r="I1259" s="6" t="s">
        <f>=G1259*H1258</f>
      </c>
    </row>
    <row collapsed="false" customFormat="false" customHeight="false" hidden="false" ht="12.1" outlineLevel="0" r="1260">
      <c r="A1260" s="13" t="n">
        <v>45959.623564815</v>
      </c>
      <c r="B1260" s="6" t="n">
        <v>143.5</v>
      </c>
      <c r="C1260" s="6" t="n">
        <v>143.5</v>
      </c>
      <c r="D1260" s="16" t="s">
        <v>679</v>
      </c>
      <c r="E1260" s="16"/>
      <c r="F1260" s="16"/>
      <c r="G1260" s="6" t="s">
        <f>=A1260-A1259</f>
      </c>
      <c r="H1260" s="6" t="s">
        <f>=B1260+H1259</f>
      </c>
      <c r="I1260" s="6" t="s">
        <f>=G1260*H1259</f>
      </c>
    </row>
    <row collapsed="false" customFormat="false" customHeight="false" hidden="false" ht="12.1" outlineLevel="0" r="1261">
      <c r="A1261" s="13" t="n">
        <v>45960.46224537</v>
      </c>
      <c r="B1261" s="6" t="n">
        <v>43.31</v>
      </c>
      <c r="C1261" s="6" t="n">
        <v>43.31</v>
      </c>
      <c r="D1261" s="16" t="s">
        <v>475</v>
      </c>
      <c r="E1261" s="16"/>
      <c r="F1261" s="16"/>
      <c r="G1261" s="6" t="s">
        <f>=A1261-A1260</f>
      </c>
      <c r="H1261" s="6" t="s">
        <f>=B1261+H1260</f>
      </c>
      <c r="I1261" s="6" t="s">
        <f>=G1261*H1260</f>
      </c>
    </row>
    <row collapsed="false" customFormat="false" customHeight="false" hidden="false" ht="12.1" outlineLevel="0" r="1262">
      <c r="A1262" s="13" t="n">
        <v>45961</v>
      </c>
      <c r="B1262" s="6" t="n">
        <v>-59.19</v>
      </c>
      <c r="C1262" s="6" t="n">
        <v>-59.19</v>
      </c>
      <c r="D1262" s="16" t="s">
        <v>738</v>
      </c>
      <c r="E1262" s="16"/>
      <c r="F1262" s="16"/>
      <c r="G1262" s="6" t="s">
        <f>=A1262-A1261</f>
      </c>
      <c r="H1262" s="6" t="s">
        <f>=B1262+H1261</f>
      </c>
      <c r="I1262" s="6" t="s">
        <f>=G1262*H1261</f>
      </c>
    </row>
    <row collapsed="false" customFormat="false" customHeight="false" hidden="false" ht="12.1" outlineLevel="0" r="1263">
      <c r="A1263" s="13" t="n">
        <v>45961</v>
      </c>
      <c r="B1263" s="6" t="n">
        <v>-23.86</v>
      </c>
      <c r="C1263" s="6" t="n">
        <v>-23.86</v>
      </c>
      <c r="D1263" s="16" t="s">
        <v>637</v>
      </c>
      <c r="E1263" s="16"/>
      <c r="F1263" s="16"/>
      <c r="G1263" s="6" t="s">
        <f>=A1263-A1262</f>
      </c>
      <c r="H1263" s="6" t="s">
        <f>=B1263+H1262</f>
      </c>
      <c r="I1263" s="6" t="s">
        <f>=G1263*H1262</f>
      </c>
    </row>
    <row collapsed="false" customFormat="false" customHeight="false" hidden="false" ht="12.1" outlineLevel="0" r="1264">
      <c r="A1264" s="13" t="n">
        <v>45961</v>
      </c>
      <c r="B1264" s="6" t="n">
        <v>-15.87</v>
      </c>
      <c r="C1264" s="6" t="n">
        <v>-15.87</v>
      </c>
      <c r="D1264" s="16" t="s">
        <v>848</v>
      </c>
      <c r="E1264" s="16"/>
      <c r="F1264" s="16"/>
      <c r="G1264" s="6" t="s">
        <f>=A1264-A1263</f>
      </c>
      <c r="H1264" s="6" t="s">
        <f>=B1264+H1263</f>
      </c>
      <c r="I1264" s="6" t="s">
        <f>=G1264*H1263</f>
      </c>
    </row>
    <row collapsed="false" customFormat="false" customHeight="false" hidden="false" ht="12.1" outlineLevel="0" r="1265">
      <c r="A1265" s="13" t="n">
        <v>45962.470763889</v>
      </c>
      <c r="B1265" s="6" t="n">
        <v>23.86</v>
      </c>
      <c r="C1265" s="6" t="n">
        <v>23.86</v>
      </c>
      <c r="D1265" s="16" t="s">
        <v>638</v>
      </c>
      <c r="E1265" s="16"/>
      <c r="F1265" s="16"/>
      <c r="G1265" s="6" t="s">
        <f>=A1265-A1264</f>
      </c>
      <c r="H1265" s="6" t="s">
        <f>=B1265+H1264</f>
      </c>
      <c r="I1265" s="6" t="s">
        <f>=G1265*H1264</f>
      </c>
    </row>
    <row collapsed="false" customFormat="false" customHeight="false" hidden="false" ht="12.1" outlineLevel="0" r="1266">
      <c r="A1266" s="13" t="n">
        <v>45962.529548611</v>
      </c>
      <c r="B1266" s="6" t="n">
        <v>59.19</v>
      </c>
      <c r="C1266" s="6" t="n">
        <v>59.19</v>
      </c>
      <c r="D1266" s="16" t="s">
        <v>741</v>
      </c>
      <c r="E1266" s="16"/>
      <c r="F1266" s="16"/>
      <c r="G1266" s="6" t="s">
        <f>=A1266-A1265</f>
      </c>
      <c r="H1266" s="6" t="s">
        <f>=B1266+H1265</f>
      </c>
      <c r="I1266" s="6" t="s">
        <f>=G1266*H1265</f>
      </c>
    </row>
    <row collapsed="false" customFormat="false" customHeight="false" hidden="false" ht="12.1" outlineLevel="0" r="1267">
      <c r="A1267" s="13" t="n">
        <v>45962.531736111</v>
      </c>
      <c r="B1267" s="6" t="n">
        <v>15.87</v>
      </c>
      <c r="C1267" s="6" t="n">
        <v>15.87</v>
      </c>
      <c r="D1267" s="16" t="s">
        <v>520</v>
      </c>
      <c r="E1267" s="16"/>
      <c r="F1267" s="16"/>
      <c r="G1267" s="6" t="s">
        <f>=A1267-A1266</f>
      </c>
      <c r="H1267" s="6" t="s">
        <f>=B1267+H1266</f>
      </c>
      <c r="I1267" s="6" t="s">
        <f>=G1267*H1266</f>
      </c>
    </row>
    <row collapsed="false" customFormat="false" customHeight="false" hidden="false" ht="12.1" outlineLevel="0" r="1268">
      <c r="A1268" s="13" t="n">
        <v>45964</v>
      </c>
      <c r="B1268" s="6" t="n">
        <v>-3.28</v>
      </c>
      <c r="C1268" s="6" t="n">
        <v>-3.28</v>
      </c>
      <c r="D1268" s="16" t="s">
        <v>784</v>
      </c>
      <c r="E1268" s="16"/>
      <c r="F1268" s="16"/>
      <c r="G1268" s="6" t="s">
        <f>=A1268-A1267</f>
      </c>
      <c r="H1268" s="6" t="s">
        <f>=B1268+H1267</f>
      </c>
      <c r="I1268" s="6" t="s">
        <f>=G1268*H1267</f>
      </c>
    </row>
    <row collapsed="false" customFormat="false" customHeight="false" hidden="false" ht="12.1" outlineLevel="0" r="1269">
      <c r="A1269" s="13" t="n">
        <v>45964</v>
      </c>
      <c r="B1269" s="6" t="n">
        <v>-31.96</v>
      </c>
      <c r="C1269" s="6" t="n">
        <v>-31.96</v>
      </c>
      <c r="D1269" s="16" t="s">
        <v>849</v>
      </c>
      <c r="E1269" s="16"/>
      <c r="F1269" s="16"/>
      <c r="G1269" s="6" t="s">
        <f>=A1269-A1268</f>
      </c>
      <c r="H1269" s="6" t="s">
        <f>=B1269+H1268</f>
      </c>
      <c r="I1269" s="6" t="s">
        <f>=G1269*H1268</f>
      </c>
    </row>
    <row collapsed="false" customFormat="false" customHeight="false" hidden="false" ht="12.1" outlineLevel="0" r="1270">
      <c r="A1270" s="13" t="n">
        <v>45965</v>
      </c>
      <c r="B1270" s="6" t="n">
        <v>-19.11</v>
      </c>
      <c r="C1270" s="6" t="n">
        <v>-19.11</v>
      </c>
      <c r="D1270" s="16" t="s">
        <v>743</v>
      </c>
      <c r="E1270" s="16"/>
      <c r="F1270" s="16"/>
      <c r="G1270" s="6" t="s">
        <f>=A1270-A1269</f>
      </c>
      <c r="H1270" s="6" t="s">
        <f>=B1270+H1269</f>
      </c>
      <c r="I1270" s="6" t="s">
        <f>=G1270*H1269</f>
      </c>
    </row>
    <row collapsed="false" customFormat="false" customHeight="false" hidden="false" ht="12.1" outlineLevel="0" r="1271">
      <c r="A1271" s="13" t="n">
        <v>45967</v>
      </c>
      <c r="B1271" s="6" t="n">
        <v>19.11</v>
      </c>
      <c r="C1271" s="6" t="n">
        <v>19.11</v>
      </c>
      <c r="D1271" s="16" t="s">
        <v>748</v>
      </c>
      <c r="E1271" s="16"/>
      <c r="F1271" s="16"/>
      <c r="G1271" s="6" t="s">
        <f>=A1271-A1270</f>
      </c>
      <c r="H1271" s="6" t="s">
        <f>=B1271+H1270</f>
      </c>
      <c r="I1271" s="6" t="s">
        <f>=G1271*H1270</f>
      </c>
    </row>
    <row collapsed="false" customFormat="false" customHeight="false" hidden="false" ht="12.1" outlineLevel="0" r="1272">
      <c r="A1272" s="13" t="n">
        <v>45967.44162037</v>
      </c>
      <c r="B1272" s="6" t="n">
        <v>3.28</v>
      </c>
      <c r="C1272" s="6" t="n">
        <v>3.28</v>
      </c>
      <c r="D1272" s="16" t="s">
        <v>787</v>
      </c>
      <c r="E1272" s="16"/>
      <c r="F1272" s="16"/>
      <c r="G1272" s="6" t="s">
        <f>=A1272-A1271</f>
      </c>
      <c r="H1272" s="6" t="s">
        <f>=B1272+H1271</f>
      </c>
      <c r="I1272" s="6" t="s">
        <f>=G1272*H1271</f>
      </c>
    </row>
    <row collapsed="false" customFormat="false" customHeight="false" hidden="false" ht="12.1" outlineLevel="0" r="1273">
      <c r="A1273" s="13" t="n">
        <v>45967.549467593</v>
      </c>
      <c r="B1273" s="6" t="n">
        <v>31.96</v>
      </c>
      <c r="C1273" s="6" t="n">
        <v>31.96</v>
      </c>
      <c r="D1273" s="16" t="s">
        <v>454</v>
      </c>
      <c r="E1273" s="16"/>
      <c r="F1273" s="16"/>
      <c r="G1273" s="6" t="s">
        <f>=A1273-A1272</f>
      </c>
      <c r="H1273" s="6" t="s">
        <f>=B1273+H1272</f>
      </c>
      <c r="I1273" s="6" t="s">
        <f>=G1273*H1272</f>
      </c>
    </row>
    <row collapsed="false" customFormat="false" customHeight="false" hidden="false" ht="12.1" outlineLevel="0" r="1274">
      <c r="A1274" s="13" t="n">
        <v>45968</v>
      </c>
      <c r="B1274" s="6" t="n">
        <v>-90.76</v>
      </c>
      <c r="C1274" s="6" t="n">
        <v>-90.76</v>
      </c>
      <c r="D1274" s="16" t="s">
        <v>744</v>
      </c>
      <c r="E1274" s="16"/>
      <c r="F1274" s="16"/>
      <c r="G1274" s="6" t="s">
        <f>=A1274-A1273</f>
      </c>
      <c r="H1274" s="6" t="s">
        <f>=B1274+H1273</f>
      </c>
      <c r="I1274" s="6" t="s">
        <f>=G1274*H1273</f>
      </c>
    </row>
    <row collapsed="false" customFormat="false" customHeight="false" hidden="false" ht="12.1" outlineLevel="0" r="1275">
      <c r="A1275" s="13" t="n">
        <v>45970</v>
      </c>
      <c r="B1275" s="6" t="n">
        <v>-15.67</v>
      </c>
      <c r="C1275" s="6" t="n">
        <v>-15.67</v>
      </c>
      <c r="D1275" s="16" t="s">
        <v>850</v>
      </c>
      <c r="E1275" s="16"/>
      <c r="F1275" s="16"/>
      <c r="G1275" s="6" t="s">
        <f>=A1275-A1274</f>
      </c>
      <c r="H1275" s="6" t="s">
        <f>=B1275+H1274</f>
      </c>
      <c r="I1275" s="6" t="s">
        <f>=G1275*H1274</f>
      </c>
    </row>
    <row collapsed="false" customFormat="false" customHeight="false" hidden="false" ht="12.1" outlineLevel="0" r="1276">
      <c r="A1276" s="13" t="n">
        <v>45971.501851852</v>
      </c>
      <c r="B1276" s="6" t="n">
        <v>90.76</v>
      </c>
      <c r="C1276" s="6" t="n">
        <v>90.76</v>
      </c>
      <c r="D1276" s="16" t="s">
        <v>747</v>
      </c>
      <c r="E1276" s="16"/>
      <c r="F1276" s="16"/>
      <c r="G1276" s="6" t="s">
        <f>=A1276-A1275</f>
      </c>
      <c r="H1276" s="6" t="s">
        <f>=B1276+H1275</f>
      </c>
      <c r="I1276" s="6" t="s">
        <f>=G1276*H1275</f>
      </c>
    </row>
    <row collapsed="false" customFormat="false" customHeight="false" hidden="false" ht="12.1" outlineLevel="0" r="1277">
      <c r="A1277" s="13" t="n">
        <v>45972</v>
      </c>
      <c r="B1277" s="6" t="n">
        <v>-300</v>
      </c>
      <c r="C1277" s="6" t="n">
        <v>-300</v>
      </c>
      <c r="D1277" s="16" t="s">
        <v>851</v>
      </c>
      <c r="E1277" s="16"/>
      <c r="F1277" s="16"/>
      <c r="G1277" s="6" t="s">
        <f>=A1277-A1276</f>
      </c>
      <c r="H1277" s="6" t="s">
        <f>=B1277+H1276</f>
      </c>
      <c r="I1277" s="6" t="s">
        <f>=G1277*H1276</f>
      </c>
    </row>
    <row collapsed="false" customFormat="false" customHeight="false" hidden="false" ht="12.1" outlineLevel="0" r="1278">
      <c r="A1278" s="13" t="n">
        <v>45972.486145833</v>
      </c>
      <c r="B1278" s="6" t="n">
        <v>15.67</v>
      </c>
      <c r="C1278" s="6" t="n">
        <v>15.67</v>
      </c>
      <c r="D1278" s="16" t="s">
        <v>745</v>
      </c>
      <c r="E1278" s="16"/>
      <c r="F1278" s="16"/>
      <c r="G1278" s="6" t="s">
        <f>=A1278-A1277</f>
      </c>
      <c r="H1278" s="6" t="s">
        <f>=B1278+H1277</f>
      </c>
      <c r="I1278" s="6" t="s">
        <f>=G1278*H1277</f>
      </c>
    </row>
    <row collapsed="false" customFormat="false" customHeight="false" hidden="false" ht="12.1" outlineLevel="0" r="1279">
      <c r="A1279" s="13" t="n">
        <v>45973</v>
      </c>
      <c r="B1279" s="6" t="n">
        <v>-1232.44</v>
      </c>
      <c r="C1279" s="6" t="n">
        <v>-1232.44</v>
      </c>
      <c r="D1279" s="16" t="s">
        <v>852</v>
      </c>
      <c r="E1279" s="16"/>
      <c r="F1279" s="16"/>
      <c r="G1279" s="6" t="s">
        <f>=A1279-A1278</f>
      </c>
      <c r="H1279" s="6" t="s">
        <f>=B1279+H1278</f>
      </c>
      <c r="I1279" s="6" t="s">
        <f>=G1279*H1278</f>
      </c>
    </row>
    <row collapsed="false" customFormat="false" customHeight="false" hidden="false" ht="12.1" outlineLevel="0" r="1280">
      <c r="A1280" s="13" t="n">
        <v>45973</v>
      </c>
      <c r="B1280" s="6" t="n">
        <v>-4.67</v>
      </c>
      <c r="C1280" s="6" t="n">
        <v>-4.67</v>
      </c>
      <c r="D1280" s="16" t="s">
        <v>542</v>
      </c>
      <c r="E1280" s="16"/>
      <c r="F1280" s="16"/>
      <c r="G1280" s="6" t="s">
        <f>=A1280-A1279</f>
      </c>
      <c r="H1280" s="6" t="s">
        <f>=B1280+H1279</f>
      </c>
      <c r="I1280" s="6" t="s">
        <f>=G1280*H1279</f>
      </c>
    </row>
    <row collapsed="false" customFormat="false" customHeight="false" hidden="false" ht="12.1" outlineLevel="0" r="1281">
      <c r="A1281" s="13" t="n">
        <v>45974.418298611</v>
      </c>
      <c r="B1281" s="6" t="n">
        <v>1232.44</v>
      </c>
      <c r="C1281" s="6" t="n">
        <v>1232.44</v>
      </c>
      <c r="D1281" s="16" t="s">
        <v>374</v>
      </c>
      <c r="E1281" s="16"/>
      <c r="F1281" s="16"/>
      <c r="G1281" s="6" t="s">
        <f>=A1281-A1280</f>
      </c>
      <c r="H1281" s="6" t="s">
        <f>=B1281+H1280</f>
      </c>
      <c r="I1281" s="6" t="s">
        <f>=G1281*H1280</f>
      </c>
    </row>
    <row collapsed="false" customFormat="false" customHeight="false" hidden="false" ht="12.1" outlineLevel="0" r="1282">
      <c r="A1282" s="13" t="n">
        <v>45974.471203704</v>
      </c>
      <c r="B1282" s="6" t="n">
        <v>4.67</v>
      </c>
      <c r="C1282" s="6" t="n">
        <v>4.67</v>
      </c>
      <c r="D1282" s="16" t="s">
        <v>543</v>
      </c>
      <c r="E1282" s="16"/>
      <c r="F1282" s="16"/>
      <c r="G1282" s="6" t="s">
        <f>=A1282-A1281</f>
      </c>
      <c r="H1282" s="6" t="s">
        <f>=B1282+H1281</f>
      </c>
      <c r="I1282" s="6" t="s">
        <f>=G1282*H1281</f>
      </c>
    </row>
    <row collapsed="false" customFormat="false" customHeight="false" hidden="false" ht="12.1" outlineLevel="0" r="1283">
      <c r="A1283" s="13" t="n">
        <v>45974.476319444</v>
      </c>
      <c r="B1283" s="6" t="n">
        <v>300</v>
      </c>
      <c r="C1283" s="6" t="n">
        <v>300</v>
      </c>
      <c r="D1283" s="16" t="s">
        <v>853</v>
      </c>
      <c r="E1283" s="16"/>
      <c r="F1283" s="16"/>
      <c r="G1283" s="6" t="s">
        <f>=A1283-A1282</f>
      </c>
      <c r="H1283" s="6" t="s">
        <f>=B1283+H1282</f>
      </c>
      <c r="I1283" s="6" t="s">
        <f>=G1283*H1282</f>
      </c>
    </row>
    <row collapsed="false" customFormat="false" customHeight="false" hidden="false" ht="12.1" outlineLevel="0" r="1284">
      <c r="A1284" s="13" t="n">
        <v>45979</v>
      </c>
      <c r="B1284" s="6" t="n">
        <v>-15.35</v>
      </c>
      <c r="C1284" s="6" t="n">
        <v>-15.35</v>
      </c>
      <c r="D1284" s="16" t="s">
        <v>854</v>
      </c>
      <c r="E1284" s="16"/>
      <c r="F1284" s="16"/>
      <c r="G1284" s="6" t="s">
        <f>=A1284-A1283</f>
      </c>
      <c r="H1284" s="6" t="s">
        <f>=B1284+H1283</f>
      </c>
      <c r="I1284" s="6" t="s">
        <f>=G1284*H1283</f>
      </c>
    </row>
    <row collapsed="false" customFormat="false" customHeight="false" hidden="false" ht="12.1" outlineLevel="0" r="1285">
      <c r="A1285" s="13" t="n">
        <v>45979</v>
      </c>
      <c r="B1285" s="6" t="n">
        <v>-20.96</v>
      </c>
      <c r="C1285" s="6" t="n">
        <v>-20.96</v>
      </c>
      <c r="D1285" s="16" t="s">
        <v>757</v>
      </c>
      <c r="E1285" s="16"/>
      <c r="F1285" s="16"/>
      <c r="G1285" s="6" t="s">
        <f>=A1285-A1284</f>
      </c>
      <c r="H1285" s="6" t="s">
        <f>=B1285+H1284</f>
      </c>
      <c r="I1285" s="6" t="s">
        <f>=G1285*H1284</f>
      </c>
    </row>
    <row collapsed="false" customFormat="false" customHeight="false" hidden="false" ht="12.1" outlineLevel="0" r="1286">
      <c r="A1286" s="13" t="n">
        <v>45980</v>
      </c>
      <c r="B1286" s="6" t="n">
        <v>-506.1</v>
      </c>
      <c r="C1286" s="6" t="n">
        <v>-506.1</v>
      </c>
      <c r="D1286" s="16" t="s">
        <v>855</v>
      </c>
      <c r="E1286" s="16"/>
      <c r="F1286" s="16"/>
      <c r="G1286" s="6" t="s">
        <f>=A1286-A1285</f>
      </c>
      <c r="H1286" s="6" t="s">
        <f>=B1286+H1285</f>
      </c>
      <c r="I1286" s="6" t="s">
        <f>=G1286*H1285</f>
      </c>
    </row>
    <row collapsed="false" customFormat="false" customHeight="false" hidden="false" ht="12.1" outlineLevel="0" r="1287">
      <c r="A1287" s="13" t="n">
        <v>45980</v>
      </c>
      <c r="B1287" s="6" t="n">
        <v>-91.98</v>
      </c>
      <c r="C1287" s="6" t="n">
        <v>-91.98</v>
      </c>
      <c r="D1287" s="16" t="s">
        <v>856</v>
      </c>
      <c r="E1287" s="16"/>
      <c r="F1287" s="16"/>
      <c r="G1287" s="6" t="s">
        <f>=A1287-A1286</f>
      </c>
      <c r="H1287" s="6" t="s">
        <f>=B1287+H1286</f>
      </c>
      <c r="I1287" s="6" t="s">
        <f>=G1287*H1286</f>
      </c>
    </row>
    <row collapsed="false" customFormat="false" customHeight="false" hidden="false" ht="12.1" outlineLevel="0" r="1288">
      <c r="A1288" s="13" t="n">
        <v>45980</v>
      </c>
      <c r="B1288" s="6" t="n">
        <v>-11.18</v>
      </c>
      <c r="C1288" s="6" t="n">
        <v>-11.18</v>
      </c>
      <c r="D1288" s="16" t="s">
        <v>613</v>
      </c>
      <c r="E1288" s="16"/>
      <c r="F1288" s="16"/>
      <c r="G1288" s="6" t="s">
        <f>=A1288-A1287</f>
      </c>
      <c r="H1288" s="6" t="s">
        <f>=B1288+H1287</f>
      </c>
      <c r="I1288" s="6" t="s">
        <f>=G1288*H1287</f>
      </c>
    </row>
    <row collapsed="false" customFormat="false" customHeight="false" hidden="false" ht="12.1" outlineLevel="0" r="1289">
      <c r="A1289" s="13" t="n">
        <v>45980.444027778</v>
      </c>
      <c r="B1289" s="6" t="n">
        <v>15.35</v>
      </c>
      <c r="C1289" s="6" t="n">
        <v>15.35</v>
      </c>
      <c r="D1289" s="16" t="s">
        <v>726</v>
      </c>
      <c r="E1289" s="16"/>
      <c r="F1289" s="16"/>
      <c r="G1289" s="6" t="s">
        <f>=A1289-A1288</f>
      </c>
      <c r="H1289" s="6" t="s">
        <f>=B1289+H1288</f>
      </c>
      <c r="I1289" s="6" t="s">
        <f>=G1289*H1288</f>
      </c>
    </row>
    <row collapsed="false" customFormat="false" customHeight="false" hidden="false" ht="12.1" outlineLevel="0" r="1290">
      <c r="A1290" s="13" t="n">
        <v>45980.468483796</v>
      </c>
      <c r="B1290" s="6" t="n">
        <v>20.96</v>
      </c>
      <c r="C1290" s="6" t="n">
        <v>20.96</v>
      </c>
      <c r="D1290" s="16" t="s">
        <v>759</v>
      </c>
      <c r="E1290" s="16"/>
      <c r="F1290" s="16"/>
      <c r="G1290" s="6" t="s">
        <f>=A1290-A1289</f>
      </c>
      <c r="H1290" s="6" t="s">
        <f>=B1290+H1289</f>
      </c>
      <c r="I1290" s="6" t="s">
        <f>=G1290*H1289</f>
      </c>
    </row>
    <row collapsed="false" customFormat="false" customHeight="false" hidden="false" ht="12.1" outlineLevel="0" r="1291">
      <c r="A1291" s="13" t="n">
        <v>45981</v>
      </c>
      <c r="B1291" s="6" t="n">
        <v>-6.5</v>
      </c>
      <c r="C1291" s="6" t="n">
        <v>-6.5</v>
      </c>
      <c r="D1291" s="16" t="s">
        <v>756</v>
      </c>
      <c r="E1291" s="16"/>
      <c r="F1291" s="16"/>
      <c r="G1291" s="6" t="s">
        <f>=A1291-A1290</f>
      </c>
      <c r="H1291" s="6" t="s">
        <f>=B1291+H1290</f>
      </c>
      <c r="I1291" s="6" t="s">
        <f>=G1291*H1290</f>
      </c>
    </row>
    <row collapsed="false" customFormat="false" customHeight="false" hidden="false" ht="12.1" outlineLevel="0" r="1292">
      <c r="A1292" s="13" t="n">
        <v>45981.497453704</v>
      </c>
      <c r="B1292" s="6" t="n">
        <v>11.18</v>
      </c>
      <c r="C1292" s="6" t="n">
        <v>11.18</v>
      </c>
      <c r="D1292" s="16" t="s">
        <v>616</v>
      </c>
      <c r="E1292" s="16"/>
      <c r="F1292" s="16"/>
      <c r="G1292" s="6" t="s">
        <f>=A1292-A1291</f>
      </c>
      <c r="H1292" s="6" t="s">
        <f>=B1292+H1291</f>
      </c>
      <c r="I1292" s="6" t="s">
        <f>=G1292*H1291</f>
      </c>
    </row>
    <row collapsed="false" customFormat="false" customHeight="false" hidden="false" ht="12.1" outlineLevel="0" r="1293">
      <c r="A1293" s="13" t="n">
        <v>45981.526898148</v>
      </c>
      <c r="B1293" s="6" t="n">
        <v>506.1</v>
      </c>
      <c r="C1293" s="6" t="n">
        <v>506.1</v>
      </c>
      <c r="D1293" s="16" t="s">
        <v>378</v>
      </c>
      <c r="E1293" s="16"/>
      <c r="F1293" s="16"/>
      <c r="G1293" s="6" t="s">
        <f>=A1293-A1292</f>
      </c>
      <c r="H1293" s="6" t="s">
        <f>=B1293+H1292</f>
      </c>
      <c r="I1293" s="6" t="s">
        <f>=G1293*H1292</f>
      </c>
    </row>
    <row collapsed="false" customFormat="false" customHeight="false" hidden="false" ht="12.1" outlineLevel="0" r="1294">
      <c r="A1294" s="13" t="n">
        <v>45981.532893519</v>
      </c>
      <c r="B1294" s="6" t="n">
        <v>91.98</v>
      </c>
      <c r="C1294" s="6" t="n">
        <v>91.98</v>
      </c>
      <c r="D1294" s="16" t="s">
        <v>480</v>
      </c>
      <c r="E1294" s="16"/>
      <c r="F1294" s="16"/>
      <c r="G1294" s="6" t="s">
        <f>=A1294-A1293</f>
      </c>
      <c r="H1294" s="6" t="s">
        <f>=B1294+H1293</f>
      </c>
      <c r="I1294" s="6" t="s">
        <f>=G1294*H1293</f>
      </c>
    </row>
    <row collapsed="false" customFormat="false" customHeight="false" hidden="false" ht="12.1" outlineLevel="0" r="1295">
      <c r="A1295" s="13" t="n">
        <v>45982</v>
      </c>
      <c r="B1295" s="6" t="n">
        <v>-29.76</v>
      </c>
      <c r="C1295" s="6" t="n">
        <v>-29.76</v>
      </c>
      <c r="D1295" s="16" t="s">
        <v>845</v>
      </c>
      <c r="E1295" s="16"/>
      <c r="F1295" s="16"/>
      <c r="G1295" s="6" t="s">
        <f>=A1295-A1294</f>
      </c>
      <c r="H1295" s="6" t="s">
        <f>=B1295+H1294</f>
      </c>
      <c r="I1295" s="6" t="s">
        <f>=G1295*H1294</f>
      </c>
    </row>
    <row collapsed="false" customFormat="false" customHeight="false" hidden="false" ht="12.1" outlineLevel="0" r="1296">
      <c r="A1296" s="13" t="n">
        <v>45982.449456019</v>
      </c>
      <c r="B1296" s="6" t="n">
        <v>6.5</v>
      </c>
      <c r="C1296" s="6" t="n">
        <v>6.5</v>
      </c>
      <c r="D1296" s="16" t="s">
        <v>422</v>
      </c>
      <c r="E1296" s="16"/>
      <c r="F1296" s="16"/>
      <c r="G1296" s="6" t="s">
        <f>=A1296-A1295</f>
      </c>
      <c r="H1296" s="6" t="s">
        <f>=B1296+H1295</f>
      </c>
      <c r="I1296" s="6" t="s">
        <f>=G1296*H1295</f>
      </c>
    </row>
    <row collapsed="false" customFormat="false" customHeight="false" hidden="false" ht="12.1" outlineLevel="0" r="1297">
      <c r="A1297" s="13" t="n">
        <v>45985.439664352</v>
      </c>
      <c r="B1297" s="6" t="n">
        <v>29.76</v>
      </c>
      <c r="C1297" s="6" t="n">
        <v>29.76</v>
      </c>
      <c r="D1297" s="16" t="s">
        <v>590</v>
      </c>
      <c r="E1297" s="16"/>
      <c r="F1297" s="16"/>
      <c r="G1297" s="6" t="s">
        <f>=A1297-A1296</f>
      </c>
      <c r="H1297" s="6" t="s">
        <f>=B1297+H1296</f>
      </c>
      <c r="I1297" s="6" t="s">
        <f>=G1297*H1296</f>
      </c>
    </row>
    <row collapsed="false" customFormat="false" customHeight="false" hidden="false" ht="12.1" outlineLevel="0" r="1298">
      <c r="A1298" s="13" t="n">
        <v>45986</v>
      </c>
      <c r="B1298" s="6" t="n">
        <v>-19.48</v>
      </c>
      <c r="C1298" s="6" t="n">
        <v>-19.48</v>
      </c>
      <c r="D1298" s="16" t="s">
        <v>763</v>
      </c>
      <c r="E1298" s="16"/>
      <c r="F1298" s="16"/>
      <c r="G1298" s="6" t="s">
        <f>=A1298-A1297</f>
      </c>
      <c r="H1298" s="6" t="s">
        <f>=B1298+H1297</f>
      </c>
      <c r="I1298" s="6" t="s">
        <f>=G1298*H1297</f>
      </c>
    </row>
    <row collapsed="false" customFormat="false" customHeight="false" hidden="false" ht="12.1" outlineLevel="0" r="1299">
      <c r="A1299" s="13" t="n">
        <v>45986</v>
      </c>
      <c r="B1299" s="6" t="n">
        <v>-74.79</v>
      </c>
      <c r="C1299" s="6" t="n">
        <v>-74.79</v>
      </c>
      <c r="D1299" s="16" t="s">
        <v>696</v>
      </c>
      <c r="E1299" s="16"/>
      <c r="F1299" s="16"/>
      <c r="G1299" s="6" t="s">
        <f>=A1299-A1298</f>
      </c>
      <c r="H1299" s="6" t="s">
        <f>=B1299+H1298</f>
      </c>
      <c r="I1299" s="6" t="s">
        <f>=G1299*H1298</f>
      </c>
    </row>
    <row collapsed="false" customFormat="false" customHeight="false" hidden="false" ht="12.1" outlineLevel="0" r="1300">
      <c r="A1300" s="13" t="n">
        <v>45987</v>
      </c>
      <c r="B1300" s="6" t="n">
        <v>-671.88</v>
      </c>
      <c r="C1300" s="6" t="n">
        <v>-671.88</v>
      </c>
      <c r="D1300" s="16" t="s">
        <v>857</v>
      </c>
      <c r="E1300" s="16"/>
      <c r="F1300" s="16"/>
      <c r="G1300" s="6" t="s">
        <f>=A1300-A1299</f>
      </c>
      <c r="H1300" s="6" t="s">
        <f>=B1300+H1299</f>
      </c>
      <c r="I1300" s="6" t="s">
        <f>=G1300*H1299</f>
      </c>
    </row>
    <row collapsed="false" customFormat="false" customHeight="false" hidden="false" ht="12.1" outlineLevel="0" r="1301">
      <c r="A1301" s="13" t="n">
        <v>45987</v>
      </c>
      <c r="B1301" s="6" t="n">
        <v>-568.44</v>
      </c>
      <c r="C1301" s="6" t="n">
        <v>-568.44</v>
      </c>
      <c r="D1301" s="16" t="s">
        <v>858</v>
      </c>
      <c r="E1301" s="16"/>
      <c r="F1301" s="16"/>
      <c r="G1301" s="6" t="s">
        <f>=A1301-A1300</f>
      </c>
      <c r="H1301" s="6" t="s">
        <f>=B1301+H1300</f>
      </c>
      <c r="I1301" s="6" t="s">
        <f>=G1301*H1300</f>
      </c>
    </row>
    <row collapsed="false" customFormat="false" customHeight="false" hidden="false" ht="12.1" outlineLevel="0" r="1302">
      <c r="A1302" s="13" t="n">
        <v>45987.443240741</v>
      </c>
      <c r="B1302" s="6" t="n">
        <v>19.48</v>
      </c>
      <c r="C1302" s="6" t="n">
        <v>19.48</v>
      </c>
      <c r="D1302" s="16" t="s">
        <v>764</v>
      </c>
      <c r="E1302" s="16"/>
      <c r="F1302" s="16"/>
      <c r="G1302" s="6" t="s">
        <f>=A1302-A1301</f>
      </c>
      <c r="H1302" s="6" t="s">
        <f>=B1302+H1301</f>
      </c>
      <c r="I1302" s="6" t="s">
        <f>=G1302*H1301</f>
      </c>
    </row>
    <row collapsed="false" customFormat="false" customHeight="false" hidden="false" ht="12.1" outlineLevel="0" r="1303">
      <c r="A1303" s="13" t="n">
        <v>45987.470497685</v>
      </c>
      <c r="B1303" s="6" t="n">
        <v>74.79</v>
      </c>
      <c r="C1303" s="6" t="n">
        <v>74.79</v>
      </c>
      <c r="D1303" s="16" t="s">
        <v>649</v>
      </c>
      <c r="E1303" s="16"/>
      <c r="F1303" s="16"/>
      <c r="G1303" s="6" t="s">
        <f>=A1303-A1302</f>
      </c>
      <c r="H1303" s="6" t="s">
        <f>=B1303+H1302</f>
      </c>
      <c r="I1303" s="6" t="s">
        <f>=G1303*H1302</f>
      </c>
    </row>
    <row collapsed="false" customFormat="false" customHeight="false" hidden="false" ht="12.1" outlineLevel="0" r="1304">
      <c r="A1304" s="13" t="n">
        <v>45987.770428241</v>
      </c>
      <c r="B1304" s="6" t="n">
        <v>568.44</v>
      </c>
      <c r="C1304" s="6" t="n">
        <v>568.44</v>
      </c>
      <c r="D1304" s="16" t="s">
        <v>552</v>
      </c>
      <c r="E1304" s="16"/>
      <c r="F1304" s="16"/>
      <c r="G1304" s="6" t="s">
        <f>=A1304-A1303</f>
      </c>
      <c r="H1304" s="6" t="s">
        <f>=B1304+H1303</f>
      </c>
      <c r="I1304" s="6" t="s">
        <f>=G1304*H1303</f>
      </c>
    </row>
    <row collapsed="false" customFormat="false" customHeight="false" hidden="false" ht="12.1" outlineLevel="0" r="1305">
      <c r="A1305" s="13" t="n">
        <v>45987.786261574</v>
      </c>
      <c r="B1305" s="6" t="n">
        <v>671.88</v>
      </c>
      <c r="C1305" s="6" t="n">
        <v>671.88</v>
      </c>
      <c r="D1305" s="16" t="s">
        <v>650</v>
      </c>
      <c r="E1305" s="16"/>
      <c r="F1305" s="16"/>
      <c r="G1305" s="6" t="s">
        <f>=A1305-A1304</f>
      </c>
      <c r="H1305" s="6" t="s">
        <f>=B1305+H1304</f>
      </c>
      <c r="I1305" s="6" t="s">
        <f>=G1305*H1304</f>
      </c>
    </row>
    <row collapsed="false" customFormat="false" customHeight="false" hidden="false" ht="12.1" outlineLevel="0" r="1306">
      <c r="A1306" s="13" t="n">
        <v>45988.526145833</v>
      </c>
      <c r="B1306" s="6" t="n">
        <v>11820</v>
      </c>
      <c r="C1306" s="6" t="n">
        <v>11820</v>
      </c>
      <c r="D1306" s="16" t="s">
        <v>350</v>
      </c>
      <c r="E1306" s="16"/>
      <c r="F1306" s="16"/>
      <c r="G1306" s="6" t="s">
        <f>=A1306-A1305</f>
      </c>
      <c r="H1306" s="6" t="s">
        <f>=B1306+H1305</f>
      </c>
      <c r="I1306" s="6" t="s">
        <f>=G1306*H1305</f>
      </c>
    </row>
    <row collapsed="false" customFormat="false" customHeight="false" hidden="false" ht="12.1" outlineLevel="0" r="1307">
      <c r="A1307" s="13" t="n">
        <v>45989</v>
      </c>
      <c r="B1307" s="6" t="n">
        <v>-24.81</v>
      </c>
      <c r="C1307" s="6" t="n">
        <v>-24.81</v>
      </c>
      <c r="D1307" s="16" t="s">
        <v>379</v>
      </c>
      <c r="E1307" s="16"/>
      <c r="F1307" s="16"/>
      <c r="G1307" s="6" t="s">
        <f>=A1307-A1306</f>
      </c>
      <c r="H1307" s="6" t="s">
        <f>=B1307+H1306</f>
      </c>
      <c r="I1307" s="6" t="s">
        <f>=G1307*H1306</f>
      </c>
    </row>
    <row collapsed="false" customFormat="false" customHeight="false" hidden="false" ht="12.1" outlineLevel="0" r="1308">
      <c r="A1308" s="13" t="n">
        <v>45992</v>
      </c>
      <c r="B1308" s="6" t="n">
        <v>-15.24</v>
      </c>
      <c r="C1308" s="6" t="n">
        <v>-15.24</v>
      </c>
      <c r="D1308" s="16" t="s">
        <v>859</v>
      </c>
      <c r="E1308" s="16"/>
      <c r="F1308" s="16"/>
      <c r="G1308" s="6" t="s">
        <f>=A1308-A1307</f>
      </c>
      <c r="H1308" s="6" t="s">
        <f>=B1308+H1307</f>
      </c>
      <c r="I1308" s="6" t="s">
        <f>=G1308*H1307</f>
      </c>
    </row>
    <row collapsed="false" customFormat="false" customHeight="false" hidden="false" ht="12.1" outlineLevel="0" r="1309">
      <c r="A1309" s="13" t="n">
        <v>45992</v>
      </c>
      <c r="B1309" s="6" t="n">
        <v>-25.68</v>
      </c>
      <c r="C1309" s="6" t="n">
        <v>-25.68</v>
      </c>
      <c r="D1309" s="16" t="s">
        <v>766</v>
      </c>
      <c r="E1309" s="16"/>
      <c r="F1309" s="16"/>
      <c r="G1309" s="6" t="s">
        <f>=A1309-A1308</f>
      </c>
      <c r="H1309" s="6" t="s">
        <f>=B1309+H1308</f>
      </c>
      <c r="I1309" s="6" t="s">
        <f>=G1309*H1308</f>
      </c>
    </row>
    <row collapsed="false" customFormat="false" customHeight="false" hidden="false" ht="12.1" outlineLevel="0" r="1310">
      <c r="A1310" s="13" t="n">
        <v>45992</v>
      </c>
      <c r="B1310" s="6" t="n">
        <v>-39.9</v>
      </c>
      <c r="C1310" s="6" t="n">
        <v>-39.9</v>
      </c>
      <c r="D1310" s="16" t="s">
        <v>603</v>
      </c>
      <c r="E1310" s="16"/>
      <c r="F1310" s="16"/>
      <c r="G1310" s="6" t="s">
        <f>=A1310-A1309</f>
      </c>
      <c r="H1310" s="6" t="s">
        <f>=B1310+H1309</f>
      </c>
      <c r="I1310" s="6" t="s">
        <f>=G1310*H1309</f>
      </c>
    </row>
    <row collapsed="false" customFormat="false" customHeight="false" hidden="false" ht="12.1" outlineLevel="0" r="1311">
      <c r="A1311" s="13" t="n">
        <v>45992.473368056</v>
      </c>
      <c r="B1311" s="6" t="n">
        <v>24.81</v>
      </c>
      <c r="C1311" s="6" t="n">
        <v>24.81</v>
      </c>
      <c r="D1311" s="16" t="s">
        <v>380</v>
      </c>
      <c r="E1311" s="16"/>
      <c r="F1311" s="16"/>
      <c r="G1311" s="6" t="s">
        <f>=A1311-A1310</f>
      </c>
      <c r="H1311" s="6" t="s">
        <f>=B1311+H1310</f>
      </c>
      <c r="I1311" s="6" t="s">
        <f>=G1311*H1310</f>
      </c>
    </row>
    <row collapsed="false" customFormat="false" customHeight="false" hidden="false" ht="12.1" outlineLevel="0" r="1312">
      <c r="A1312" s="13" t="n">
        <v>45993</v>
      </c>
      <c r="B1312" s="6" t="n">
        <v>-2000</v>
      </c>
      <c r="C1312" s="6" t="n">
        <v>-2000</v>
      </c>
      <c r="D1312" s="16" t="s">
        <v>860</v>
      </c>
      <c r="E1312" s="16"/>
      <c r="F1312" s="16"/>
      <c r="G1312" s="6" t="s">
        <f>=A1312-A1311</f>
      </c>
      <c r="H1312" s="6" t="s">
        <f>=B1312+H1311</f>
      </c>
      <c r="I1312" s="6" t="s">
        <f>=G1312*H1311</f>
      </c>
    </row>
    <row collapsed="false" customFormat="false" customHeight="false" hidden="false" ht="12.1" outlineLevel="0" r="1313">
      <c r="A1313" s="13" t="n">
        <v>45993</v>
      </c>
      <c r="B1313" s="6" t="n">
        <v>-29.17</v>
      </c>
      <c r="C1313" s="6" t="n">
        <v>-29.17</v>
      </c>
      <c r="D1313" s="16" t="s">
        <v>651</v>
      </c>
      <c r="E1313" s="16"/>
      <c r="F1313" s="16"/>
      <c r="G1313" s="6" t="s">
        <f>=A1313-A1312</f>
      </c>
      <c r="H1313" s="6" t="s">
        <f>=B1313+H1312</f>
      </c>
      <c r="I1313" s="6" t="s">
        <f>=G1313*H1312</f>
      </c>
    </row>
    <row collapsed="false" customFormat="false" customHeight="false" hidden="false" ht="12.1" outlineLevel="0" r="1314">
      <c r="A1314" s="13" t="n">
        <v>45993</v>
      </c>
      <c r="B1314" s="6" t="n">
        <v>-112.2</v>
      </c>
      <c r="C1314" s="6" t="n">
        <v>-112.2</v>
      </c>
      <c r="D1314" s="16" t="s">
        <v>861</v>
      </c>
      <c r="E1314" s="16"/>
      <c r="F1314" s="16"/>
      <c r="G1314" s="6" t="s">
        <f>=A1314-A1313</f>
      </c>
      <c r="H1314" s="6" t="s">
        <f>=B1314+H1313</f>
      </c>
      <c r="I1314" s="6" t="s">
        <f>=G1314*H1313</f>
      </c>
    </row>
    <row collapsed="false" customFormat="false" customHeight="false" hidden="false" ht="12.1" outlineLevel="0" r="1315">
      <c r="A1315" s="13" t="n">
        <v>45993.438333333</v>
      </c>
      <c r="B1315" s="6" t="n">
        <v>25.68</v>
      </c>
      <c r="C1315" s="6" t="n">
        <v>25.68</v>
      </c>
      <c r="D1315" s="16" t="s">
        <v>768</v>
      </c>
      <c r="E1315" s="16"/>
      <c r="F1315" s="16"/>
      <c r="G1315" s="6" t="s">
        <f>=A1315-A1314</f>
      </c>
      <c r="H1315" s="6" t="s">
        <f>=B1315+H1314</f>
      </c>
      <c r="I1315" s="6" t="s">
        <f>=G1315*H1314</f>
      </c>
    </row>
    <row collapsed="false" customFormat="false" customHeight="false" hidden="false" ht="12.1" outlineLevel="0" r="1316">
      <c r="A1316" s="13" t="n">
        <v>45993.451469907</v>
      </c>
      <c r="B1316" s="6" t="n">
        <v>39.9</v>
      </c>
      <c r="C1316" s="6" t="n">
        <v>39.9</v>
      </c>
      <c r="D1316" s="16" t="s">
        <v>555</v>
      </c>
      <c r="E1316" s="16"/>
      <c r="F1316" s="16"/>
      <c r="G1316" s="6" t="s">
        <f>=A1316-A1315</f>
      </c>
      <c r="H1316" s="6" t="s">
        <f>=B1316+H1315</f>
      </c>
      <c r="I1316" s="6" t="s">
        <f>=G1316*H1315</f>
      </c>
    </row>
    <row collapsed="false" customFormat="false" customHeight="false" hidden="false" ht="12.1" outlineLevel="0" r="1317">
      <c r="A1317" s="13" t="n">
        <v>45993.565405093</v>
      </c>
      <c r="B1317" s="6" t="n">
        <v>15.24</v>
      </c>
      <c r="C1317" s="6" t="n">
        <v>15.24</v>
      </c>
      <c r="D1317" s="16" t="s">
        <v>520</v>
      </c>
      <c r="E1317" s="16"/>
      <c r="F1317" s="16"/>
      <c r="G1317" s="6" t="s">
        <f>=A1317-A1316</f>
      </c>
      <c r="H1317" s="6" t="s">
        <f>=B1317+H1316</f>
      </c>
      <c r="I1317" s="6" t="s">
        <f>=G1317*H1316</f>
      </c>
    </row>
    <row collapsed="false" customFormat="false" customHeight="false" hidden="false" ht="12.1" outlineLevel="0" r="1318">
      <c r="A1318" s="13" t="n">
        <v>45994</v>
      </c>
      <c r="B1318" s="6" t="n">
        <v>-65.32</v>
      </c>
      <c r="C1318" s="6" t="n">
        <v>-65.32</v>
      </c>
      <c r="D1318" s="16" t="s">
        <v>556</v>
      </c>
      <c r="E1318" s="16"/>
      <c r="F1318" s="16"/>
      <c r="G1318" s="6" t="s">
        <f>=A1318-A1317</f>
      </c>
      <c r="H1318" s="6" t="s">
        <f>=B1318+H1317</f>
      </c>
      <c r="I1318" s="6" t="s">
        <f>=G1318*H1317</f>
      </c>
    </row>
    <row collapsed="false" customFormat="false" customHeight="false" hidden="false" ht="12.1" outlineLevel="0" r="1319">
      <c r="A1319" s="13" t="n">
        <v>45994</v>
      </c>
      <c r="B1319" s="6" t="n">
        <v>-19.55</v>
      </c>
      <c r="C1319" s="6" t="n">
        <v>-19.55</v>
      </c>
      <c r="D1319" s="16" t="s">
        <v>655</v>
      </c>
      <c r="E1319" s="16"/>
      <c r="F1319" s="16"/>
      <c r="G1319" s="6" t="s">
        <f>=A1319-A1318</f>
      </c>
      <c r="H1319" s="6" t="s">
        <f>=B1319+H1318</f>
      </c>
      <c r="I1319" s="6" t="s">
        <f>=G1319*H1318</f>
      </c>
    </row>
    <row collapsed="false" customFormat="false" customHeight="false" hidden="false" ht="12.1" outlineLevel="0" r="1320">
      <c r="A1320" s="13" t="n">
        <v>45994</v>
      </c>
      <c r="B1320" s="6" t="n">
        <v>-830.79</v>
      </c>
      <c r="C1320" s="6" t="n">
        <v>-830.79</v>
      </c>
      <c r="D1320" s="16" t="s">
        <v>862</v>
      </c>
      <c r="E1320" s="16"/>
      <c r="F1320" s="16"/>
      <c r="G1320" s="6" t="s">
        <f>=A1320-A1319</f>
      </c>
      <c r="H1320" s="6" t="s">
        <f>=B1320+H1319</f>
      </c>
      <c r="I1320" s="6" t="s">
        <f>=G1320*H1319</f>
      </c>
    </row>
    <row collapsed="false" customFormat="false" customHeight="false" hidden="false" ht="12.1" outlineLevel="0" r="1321">
      <c r="A1321" s="13" t="n">
        <v>45994</v>
      </c>
      <c r="B1321" s="6" t="n">
        <v>-814.2</v>
      </c>
      <c r="C1321" s="6" t="n">
        <v>-814.2</v>
      </c>
      <c r="D1321" s="16" t="s">
        <v>771</v>
      </c>
      <c r="E1321" s="16"/>
      <c r="F1321" s="16"/>
      <c r="G1321" s="6" t="s">
        <f>=A1321-A1320</f>
      </c>
      <c r="H1321" s="6" t="s">
        <f>=B1321+H1320</f>
      </c>
      <c r="I1321" s="6" t="s">
        <f>=G1321*H1320</f>
      </c>
    </row>
    <row collapsed="false" customFormat="false" customHeight="false" hidden="false" ht="12.1" outlineLevel="0" r="1322">
      <c r="A1322" s="13" t="n">
        <v>45994</v>
      </c>
      <c r="B1322" s="6" t="n">
        <v>-19.87</v>
      </c>
      <c r="C1322" s="6" t="n">
        <v>-19.87</v>
      </c>
      <c r="D1322" s="16" t="s">
        <v>381</v>
      </c>
      <c r="E1322" s="16"/>
      <c r="F1322" s="16"/>
      <c r="G1322" s="6" t="s">
        <f>=A1322-A1321</f>
      </c>
      <c r="H1322" s="6" t="s">
        <f>=B1322+H1321</f>
      </c>
      <c r="I1322" s="6" t="s">
        <f>=G1322*H1321</f>
      </c>
    </row>
    <row collapsed="false" customFormat="false" customHeight="false" hidden="false" ht="12.1" outlineLevel="0" r="1323">
      <c r="A1323" s="13" t="n">
        <v>45994</v>
      </c>
      <c r="B1323" s="6" t="n">
        <v>-3.28</v>
      </c>
      <c r="C1323" s="6" t="n">
        <v>-3.28</v>
      </c>
      <c r="D1323" s="16" t="s">
        <v>784</v>
      </c>
      <c r="E1323" s="16"/>
      <c r="F1323" s="16"/>
      <c r="G1323" s="6" t="s">
        <f>=A1323-A1322</f>
      </c>
      <c r="H1323" s="6" t="s">
        <f>=B1323+H1322</f>
      </c>
      <c r="I1323" s="6" t="s">
        <f>=G1323*H1322</f>
      </c>
    </row>
    <row collapsed="false" customFormat="false" customHeight="false" hidden="false" ht="12.1" outlineLevel="0" r="1324">
      <c r="A1324" s="13" t="n">
        <v>45994</v>
      </c>
      <c r="B1324" s="6" t="n">
        <v>-855.12</v>
      </c>
      <c r="C1324" s="6" t="n">
        <v>-855.12</v>
      </c>
      <c r="D1324" s="16" t="s">
        <v>863</v>
      </c>
      <c r="E1324" s="16"/>
      <c r="F1324" s="16"/>
      <c r="G1324" s="6" t="s">
        <f>=A1324-A1323</f>
      </c>
      <c r="H1324" s="6" t="s">
        <f>=B1324+H1323</f>
      </c>
      <c r="I1324" s="6" t="s">
        <f>=G1324*H1323</f>
      </c>
    </row>
    <row collapsed="false" customFormat="false" customHeight="false" hidden="false" ht="12.1" outlineLevel="0" r="1325">
      <c r="A1325" s="13" t="n">
        <v>45994</v>
      </c>
      <c r="B1325" s="6" t="n">
        <v>-56.84</v>
      </c>
      <c r="C1325" s="6" t="n">
        <v>-56.84</v>
      </c>
      <c r="D1325" s="16" t="s">
        <v>652</v>
      </c>
      <c r="E1325" s="16"/>
      <c r="F1325" s="16"/>
      <c r="G1325" s="6" t="s">
        <f>=A1325-A1324</f>
      </c>
      <c r="H1325" s="6" t="s">
        <f>=B1325+H1324</f>
      </c>
      <c r="I1325" s="6" t="s">
        <f>=G1325*H1324</f>
      </c>
    </row>
    <row collapsed="false" customFormat="false" customHeight="false" hidden="false" ht="12.1" outlineLevel="0" r="1326">
      <c r="A1326" s="13" t="n">
        <v>45994.488402778</v>
      </c>
      <c r="B1326" s="6" t="n">
        <v>112.2</v>
      </c>
      <c r="C1326" s="6" t="n">
        <v>112.2</v>
      </c>
      <c r="D1326" s="16" t="s">
        <v>485</v>
      </c>
      <c r="E1326" s="16"/>
      <c r="F1326" s="16"/>
      <c r="G1326" s="6" t="s">
        <f>=A1326-A1325</f>
      </c>
      <c r="H1326" s="6" t="s">
        <f>=B1326+H1325</f>
      </c>
      <c r="I1326" s="6" t="s">
        <f>=G1326*H1325</f>
      </c>
    </row>
    <row collapsed="false" customFormat="false" customHeight="false" hidden="false" ht="12.1" outlineLevel="0" r="1327">
      <c r="A1327" s="13" t="n">
        <v>45994.498043981</v>
      </c>
      <c r="B1327" s="6" t="n">
        <v>29.17</v>
      </c>
      <c r="C1327" s="6" t="n">
        <v>29.17</v>
      </c>
      <c r="D1327" s="16" t="s">
        <v>657</v>
      </c>
      <c r="E1327" s="16"/>
      <c r="F1327" s="16"/>
      <c r="G1327" s="6" t="s">
        <f>=A1327-A1326</f>
      </c>
      <c r="H1327" s="6" t="s">
        <f>=B1327+H1326</f>
      </c>
      <c r="I1327" s="6" t="s">
        <f>=G1327*H1326</f>
      </c>
    </row>
    <row collapsed="false" customFormat="false" customHeight="false" hidden="false" ht="12.1" outlineLevel="0" r="1328">
      <c r="A1328" s="13" t="n">
        <v>45994.759965278</v>
      </c>
      <c r="B1328" s="6" t="n">
        <v>855.12</v>
      </c>
      <c r="C1328" s="6" t="n">
        <v>855.12</v>
      </c>
      <c r="D1328" s="16" t="s">
        <v>660</v>
      </c>
      <c r="E1328" s="16"/>
      <c r="F1328" s="16"/>
      <c r="G1328" s="6" t="s">
        <f>=A1328-A1327</f>
      </c>
      <c r="H1328" s="6" t="s">
        <f>=B1328+H1327</f>
      </c>
      <c r="I1328" s="6" t="s">
        <f>=G1328*H1327</f>
      </c>
    </row>
    <row collapsed="false" customFormat="false" customHeight="false" hidden="false" ht="12.1" outlineLevel="0" r="1329">
      <c r="A1329" s="13" t="n">
        <v>45994.762569444</v>
      </c>
      <c r="B1329" s="6" t="n">
        <v>830.79</v>
      </c>
      <c r="C1329" s="6" t="n">
        <v>830.79</v>
      </c>
      <c r="D1329" s="16" t="s">
        <v>486</v>
      </c>
      <c r="E1329" s="16"/>
      <c r="F1329" s="16"/>
      <c r="G1329" s="6" t="s">
        <f>=A1329-A1328</f>
      </c>
      <c r="H1329" s="6" t="s">
        <f>=B1329+H1328</f>
      </c>
      <c r="I1329" s="6" t="s">
        <f>=G1329*H1328</f>
      </c>
    </row>
    <row collapsed="false" customFormat="false" customHeight="false" hidden="false" ht="12.1" outlineLevel="0" r="1330">
      <c r="A1330" s="13" t="n">
        <v>45994.768819444</v>
      </c>
      <c r="B1330" s="6" t="n">
        <v>814.2</v>
      </c>
      <c r="C1330" s="6" t="n">
        <v>814.2</v>
      </c>
      <c r="D1330" s="16" t="s">
        <v>427</v>
      </c>
      <c r="E1330" s="16"/>
      <c r="F1330" s="16"/>
      <c r="G1330" s="6" t="s">
        <f>=A1330-A1329</f>
      </c>
      <c r="H1330" s="6" t="s">
        <f>=B1330+H1329</f>
      </c>
      <c r="I1330" s="6" t="s">
        <f>=G1330*H1329</f>
      </c>
    </row>
    <row collapsed="false" customFormat="false" customHeight="false" hidden="false" ht="12.1" outlineLevel="0" r="1331">
      <c r="A1331" s="13" t="n">
        <v>45995</v>
      </c>
      <c r="B1331" s="6" t="n">
        <v>-30.72</v>
      </c>
      <c r="C1331" s="6" t="n">
        <v>-30.72</v>
      </c>
      <c r="D1331" s="16" t="s">
        <v>864</v>
      </c>
      <c r="E1331" s="16"/>
      <c r="F1331" s="16"/>
      <c r="G1331" s="6" t="s">
        <f>=A1331-A1330</f>
      </c>
      <c r="H1331" s="6" t="s">
        <f>=B1331+H1330</f>
      </c>
      <c r="I1331" s="6" t="s">
        <f>=G1331*H1330</f>
      </c>
    </row>
    <row collapsed="false" customFormat="false" customHeight="false" hidden="false" ht="12.1" outlineLevel="0" r="1332">
      <c r="A1332" s="13" t="n">
        <v>45995</v>
      </c>
      <c r="B1332" s="6" t="n">
        <v>-35.53</v>
      </c>
      <c r="C1332" s="6" t="n">
        <v>-35.53</v>
      </c>
      <c r="D1332" s="16" t="s">
        <v>659</v>
      </c>
      <c r="E1332" s="16"/>
      <c r="F1332" s="16"/>
      <c r="G1332" s="6" t="s">
        <f>=A1332-A1331</f>
      </c>
      <c r="H1332" s="6" t="s">
        <f>=B1332+H1331</f>
      </c>
      <c r="I1332" s="6" t="s">
        <f>=G1332*H1331</f>
      </c>
    </row>
    <row collapsed="false" customFormat="false" customHeight="false" hidden="false" ht="12.1" outlineLevel="0" r="1333">
      <c r="A1333" s="13" t="n">
        <v>45995</v>
      </c>
      <c r="B1333" s="6" t="n">
        <v>-19.11</v>
      </c>
      <c r="C1333" s="6" t="n">
        <v>-19.11</v>
      </c>
      <c r="D1333" s="16" t="s">
        <v>743</v>
      </c>
      <c r="E1333" s="16"/>
      <c r="F1333" s="16"/>
      <c r="G1333" s="6" t="s">
        <f>=A1333-A1332</f>
      </c>
      <c r="H1333" s="6" t="s">
        <f>=B1333+H1332</f>
      </c>
      <c r="I1333" s="6" t="s">
        <f>=G1333*H1332</f>
      </c>
    </row>
    <row collapsed="false" customFormat="false" customHeight="false" hidden="false" ht="12.1" outlineLevel="0" r="1334">
      <c r="A1334" s="13" t="n">
        <v>45995</v>
      </c>
      <c r="B1334" s="6" t="n">
        <v>56.84</v>
      </c>
      <c r="C1334" s="6" t="n">
        <v>56.84</v>
      </c>
      <c r="D1334" s="16" t="s">
        <v>661</v>
      </c>
      <c r="E1334" s="16"/>
      <c r="F1334" s="16"/>
      <c r="G1334" s="6" t="s">
        <f>=A1334-A1333</f>
      </c>
      <c r="H1334" s="6" t="s">
        <f>=B1334+H1333</f>
      </c>
      <c r="I1334" s="6" t="s">
        <f>=G1334*H1333</f>
      </c>
    </row>
    <row collapsed="false" customFormat="false" customHeight="false" hidden="false" ht="12.1" outlineLevel="0" r="1335">
      <c r="A1335" s="13" t="n">
        <v>45995.528113426</v>
      </c>
      <c r="B1335" s="6" t="n">
        <v>65.32</v>
      </c>
      <c r="C1335" s="6" t="n">
        <v>65.32</v>
      </c>
      <c r="D1335" s="16" t="s">
        <v>426</v>
      </c>
      <c r="E1335" s="16"/>
      <c r="F1335" s="16"/>
      <c r="G1335" s="6" t="s">
        <f>=A1335-A1334</f>
      </c>
      <c r="H1335" s="6" t="s">
        <f>=B1335+H1334</f>
      </c>
      <c r="I1335" s="6" t="s">
        <f>=G1335*H1334</f>
      </c>
    </row>
    <row collapsed="false" customFormat="false" customHeight="false" hidden="false" ht="12.1" outlineLevel="0" r="1336">
      <c r="A1336" s="13" t="n">
        <v>45995.530381944</v>
      </c>
      <c r="B1336" s="6" t="n">
        <v>3.28</v>
      </c>
      <c r="C1336" s="6" t="n">
        <v>3.28</v>
      </c>
      <c r="D1336" s="16" t="s">
        <v>787</v>
      </c>
      <c r="E1336" s="16"/>
      <c r="F1336" s="16"/>
      <c r="G1336" s="6" t="s">
        <f>=A1336-A1335</f>
      </c>
      <c r="H1336" s="6" t="s">
        <f>=B1336+H1335</f>
      </c>
      <c r="I1336" s="6" t="s">
        <f>=G1336*H1335</f>
      </c>
    </row>
    <row collapsed="false" customFormat="false" customHeight="false" hidden="false" ht="12.1" outlineLevel="0" r="1337">
      <c r="A1337" s="13" t="n">
        <v>45995.553819444</v>
      </c>
      <c r="B1337" s="6" t="n">
        <v>19.55</v>
      </c>
      <c r="C1337" s="6" t="n">
        <v>19.55</v>
      </c>
      <c r="D1337" s="16" t="s">
        <v>662</v>
      </c>
      <c r="E1337" s="16"/>
      <c r="F1337" s="16"/>
      <c r="G1337" s="6" t="s">
        <f>=A1337-A1336</f>
      </c>
      <c r="H1337" s="6" t="s">
        <f>=B1337+H1336</f>
      </c>
      <c r="I1337" s="6" t="s">
        <f>=G1337*H1336</f>
      </c>
    </row>
    <row collapsed="false" customFormat="false" customHeight="false" hidden="false" ht="12.1" outlineLevel="0" r="1338">
      <c r="A1338" s="13" t="n">
        <v>45995.554166667</v>
      </c>
      <c r="B1338" s="6" t="n">
        <v>19.87</v>
      </c>
      <c r="C1338" s="6" t="n">
        <v>19.87</v>
      </c>
      <c r="D1338" s="16" t="s">
        <v>382</v>
      </c>
      <c r="E1338" s="16"/>
      <c r="F1338" s="16"/>
      <c r="G1338" s="6" t="s">
        <f>=A1338-A1337</f>
      </c>
      <c r="H1338" s="6" t="s">
        <f>=B1338+H1337</f>
      </c>
      <c r="I1338" s="6" t="s">
        <f>=G1338*H1337</f>
      </c>
    </row>
    <row collapsed="false" customFormat="false" customHeight="false" hidden="false" ht="12.1" outlineLevel="0" r="1339">
      <c r="A1339" s="13" t="n">
        <v>45995.576631944</v>
      </c>
      <c r="B1339" s="6" t="n">
        <v>2000</v>
      </c>
      <c r="C1339" s="6" t="n">
        <v>2000</v>
      </c>
      <c r="D1339" s="16" t="s">
        <v>865</v>
      </c>
      <c r="E1339" s="16"/>
      <c r="F1339" s="16"/>
      <c r="G1339" s="6" t="s">
        <f>=A1339-A1338</f>
      </c>
      <c r="H1339" s="6" t="s">
        <f>=B1339+H1338</f>
      </c>
      <c r="I1339" s="6" t="s">
        <f>=G1339*H1338</f>
      </c>
    </row>
    <row collapsed="false" customFormat="false" customHeight="false" hidden="false" ht="12.1" outlineLevel="0" r="1340">
      <c r="A1340" s="13" t="n">
        <v>45996</v>
      </c>
      <c r="B1340" s="6" t="n">
        <v>35.53</v>
      </c>
      <c r="C1340" s="6" t="n">
        <v>35.53</v>
      </c>
      <c r="D1340" s="16" t="s">
        <v>663</v>
      </c>
      <c r="E1340" s="16"/>
      <c r="F1340" s="16"/>
      <c r="G1340" s="6" t="s">
        <f>=A1340-A1339</f>
      </c>
      <c r="H1340" s="6" t="s">
        <f>=B1340+H1339</f>
      </c>
      <c r="I1340" s="6" t="s">
        <f>=G1340*H1339</f>
      </c>
    </row>
    <row collapsed="false" customFormat="false" customHeight="false" hidden="false" ht="12.1" outlineLevel="0" r="1341">
      <c r="A1341" s="13" t="n">
        <v>45996.450381944</v>
      </c>
      <c r="B1341" s="6" t="n">
        <v>19.11</v>
      </c>
      <c r="C1341" s="6" t="n">
        <v>19.11</v>
      </c>
      <c r="D1341" s="16" t="s">
        <v>748</v>
      </c>
      <c r="E1341" s="16"/>
      <c r="F1341" s="16"/>
      <c r="G1341" s="6" t="s">
        <f>=A1341-A1340</f>
      </c>
      <c r="H1341" s="6" t="s">
        <f>=B1341+H1340</f>
      </c>
      <c r="I1341" s="6" t="s">
        <f>=G1341*H1340</f>
      </c>
    </row>
    <row collapsed="false" customFormat="false" customHeight="false" hidden="false" ht="12.1" outlineLevel="0" r="1342">
      <c r="A1342" s="13" t="n">
        <v>45996.476469907</v>
      </c>
      <c r="B1342" s="6" t="n">
        <v>30.72</v>
      </c>
      <c r="C1342" s="6" t="n">
        <v>30.72</v>
      </c>
      <c r="D1342" s="16" t="s">
        <v>454</v>
      </c>
      <c r="E1342" s="16"/>
      <c r="F1342" s="16"/>
      <c r="G1342" s="6" t="s">
        <f>=A1342-A1341</f>
      </c>
      <c r="H1342" s="6" t="s">
        <f>=B1342+H1341</f>
      </c>
      <c r="I1342" s="6" t="s">
        <f>=G1342*H1341</f>
      </c>
    </row>
    <row collapsed="false" customFormat="false" customHeight="false" hidden="false" ht="12.1" outlineLevel="0" r="1343">
      <c r="A1343" s="13" t="n">
        <v>45999</v>
      </c>
      <c r="B1343" s="6" t="n">
        <v>-860</v>
      </c>
      <c r="C1343" s="6" t="n">
        <v>-860</v>
      </c>
      <c r="D1343" s="16" t="s">
        <v>866</v>
      </c>
      <c r="E1343" s="16"/>
      <c r="F1343" s="16"/>
      <c r="G1343" s="6" t="s">
        <f>=A1343-A1342</f>
      </c>
      <c r="H1343" s="6" t="s">
        <f>=B1343+H1342</f>
      </c>
      <c r="I1343" s="6" t="s">
        <f>=G1343*H1342</f>
      </c>
    </row>
    <row collapsed="false" customFormat="false" customHeight="false" hidden="false" ht="12.1" outlineLevel="0" r="1344">
      <c r="A1344" s="13" t="n">
        <v>46000</v>
      </c>
      <c r="B1344" s="6" t="n">
        <v>-28.95</v>
      </c>
      <c r="C1344" s="6" t="n">
        <v>-28.95</v>
      </c>
      <c r="D1344" s="16" t="s">
        <v>777</v>
      </c>
      <c r="E1344" s="16"/>
      <c r="F1344" s="16"/>
      <c r="G1344" s="6" t="s">
        <f>=A1344-A1343</f>
      </c>
      <c r="H1344" s="6" t="s">
        <f>=B1344+H1343</f>
      </c>
      <c r="I1344" s="6" t="s">
        <f>=G1344*H1343</f>
      </c>
    </row>
    <row collapsed="false" customFormat="false" customHeight="false" hidden="false" ht="12.1" outlineLevel="0" r="1345">
      <c r="A1345" s="13" t="n">
        <v>46001</v>
      </c>
      <c r="B1345" s="6" t="n">
        <v>-15.09</v>
      </c>
      <c r="C1345" s="6" t="n">
        <v>-15.09</v>
      </c>
      <c r="D1345" s="16" t="s">
        <v>867</v>
      </c>
      <c r="E1345" s="16"/>
      <c r="F1345" s="16"/>
      <c r="G1345" s="6" t="s">
        <f>=A1345-A1344</f>
      </c>
      <c r="H1345" s="6" t="s">
        <f>=B1345+H1344</f>
      </c>
      <c r="I1345" s="6" t="s">
        <f>=G1345*H1344</f>
      </c>
    </row>
    <row collapsed="false" customFormat="false" customHeight="false" hidden="false" ht="12.1" outlineLevel="0" r="1346">
      <c r="A1346" s="13" t="n">
        <v>46001.434849537</v>
      </c>
      <c r="B1346" s="6" t="n">
        <v>28.95</v>
      </c>
      <c r="C1346" s="6" t="n">
        <v>28.95</v>
      </c>
      <c r="D1346" s="16" t="s">
        <v>429</v>
      </c>
      <c r="E1346" s="16"/>
      <c r="F1346" s="16"/>
      <c r="G1346" s="6" t="s">
        <f>=A1346-A1345</f>
      </c>
      <c r="H1346" s="6" t="s">
        <f>=B1346+H1345</f>
      </c>
      <c r="I1346" s="6" t="s">
        <f>=G1346*H1345</f>
      </c>
    </row>
    <row collapsed="false" customFormat="false" customHeight="false" hidden="false" ht="12.1" outlineLevel="0" r="1347">
      <c r="A1347" s="13" t="n">
        <v>46001.441145833</v>
      </c>
      <c r="B1347" s="6" t="n">
        <v>860</v>
      </c>
      <c r="C1347" s="6" t="n">
        <v>860</v>
      </c>
      <c r="D1347" s="16" t="s">
        <v>868</v>
      </c>
      <c r="E1347" s="16"/>
      <c r="F1347" s="16"/>
      <c r="G1347" s="6" t="s">
        <f>=A1347-A1346</f>
      </c>
      <c r="H1347" s="6" t="s">
        <f>=B1347+H1346</f>
      </c>
      <c r="I1347" s="6" t="s">
        <f>=G1347*H1346</f>
      </c>
    </row>
    <row collapsed="false" customFormat="false" customHeight="false" hidden="false" ht="12.1" outlineLevel="0" r="1348">
      <c r="A1348" s="13" t="n">
        <v>46002</v>
      </c>
      <c r="B1348" s="6" t="n">
        <v>15.09</v>
      </c>
      <c r="C1348" s="6" t="n">
        <v>15.09</v>
      </c>
      <c r="D1348" s="16" t="s">
        <v>745</v>
      </c>
      <c r="E1348" s="16"/>
      <c r="F1348" s="16"/>
      <c r="G1348" s="6" t="s">
        <f>=A1348-A1347</f>
      </c>
      <c r="H1348" s="6" t="s">
        <f>=B1348+H1347</f>
      </c>
      <c r="I1348" s="6" t="s">
        <f>=G1348*H1347</f>
      </c>
    </row>
    <row collapsed="false" customFormat="false" customHeight="false" hidden="false" ht="12.1" outlineLevel="0" r="1349">
      <c r="A1349" s="13" t="n">
        <v>46003</v>
      </c>
      <c r="B1349" s="6" t="n">
        <v>-35.66</v>
      </c>
      <c r="C1349" s="6" t="n">
        <v>-35.66</v>
      </c>
      <c r="D1349" s="16" t="s">
        <v>701</v>
      </c>
      <c r="E1349" s="16"/>
      <c r="F1349" s="16"/>
      <c r="G1349" s="6" t="s">
        <f>=A1349-A1348</f>
      </c>
      <c r="H1349" s="6" t="s">
        <f>=B1349+H1348</f>
      </c>
      <c r="I1349" s="6" t="s">
        <f>=G1349*H1348</f>
      </c>
    </row>
    <row collapsed="false" customFormat="false" customHeight="false" hidden="false" ht="12.1" outlineLevel="0" r="1350">
      <c r="A1350" s="13" t="n">
        <v>46006.460856481</v>
      </c>
      <c r="B1350" s="6" t="n">
        <v>35.66</v>
      </c>
      <c r="C1350" s="6" t="n">
        <v>35.66</v>
      </c>
      <c r="D1350" s="16" t="s">
        <v>702</v>
      </c>
      <c r="E1350" s="16"/>
      <c r="F1350" s="16"/>
      <c r="G1350" s="6" t="s">
        <f>=A1350-A1349</f>
      </c>
      <c r="H1350" s="6" t="s">
        <f>=B1350+H1349</f>
      </c>
      <c r="I1350" s="6" t="s">
        <f>=G1350*H1349</f>
      </c>
    </row>
    <row collapsed="false" customFormat="false" customHeight="false" hidden="false" ht="12.1" outlineLevel="0" r="1351">
      <c r="A1351" s="13" t="n">
        <v>46008</v>
      </c>
      <c r="B1351" s="6" t="n">
        <v>-1571.36</v>
      </c>
      <c r="C1351" s="6" t="n">
        <v>-1571.36</v>
      </c>
      <c r="D1351" s="16" t="s">
        <v>869</v>
      </c>
      <c r="E1351" s="16"/>
      <c r="F1351" s="16"/>
      <c r="G1351" s="6" t="s">
        <f>=A1351-A1350</f>
      </c>
      <c r="H1351" s="6" t="s">
        <f>=B1351+H1350</f>
      </c>
      <c r="I1351" s="6" t="s">
        <f>=G1351*H1350</f>
      </c>
    </row>
    <row collapsed="false" customFormat="false" customHeight="false" hidden="false" ht="12.1" outlineLevel="0" r="1352">
      <c r="A1352" s="13" t="n">
        <v>46009</v>
      </c>
      <c r="B1352" s="6" t="n">
        <v>-20.96</v>
      </c>
      <c r="C1352" s="6" t="n">
        <v>-20.96</v>
      </c>
      <c r="D1352" s="16" t="s">
        <v>757</v>
      </c>
      <c r="E1352" s="16"/>
      <c r="F1352" s="16"/>
      <c r="G1352" s="6" t="s">
        <f>=A1352-A1351</f>
      </c>
      <c r="H1352" s="6" t="s">
        <f>=B1352+H1351</f>
      </c>
      <c r="I1352" s="6" t="s">
        <f>=G1352*H1351</f>
      </c>
    </row>
    <row collapsed="false" customFormat="false" customHeight="false" hidden="false" ht="12.1" outlineLevel="0" r="1353">
      <c r="A1353" s="13" t="n">
        <v>46009.453217593</v>
      </c>
      <c r="B1353" s="6" t="n">
        <v>1571.36</v>
      </c>
      <c r="C1353" s="6" t="n">
        <v>1571.36</v>
      </c>
      <c r="D1353" s="16" t="s">
        <v>384</v>
      </c>
      <c r="E1353" s="16"/>
      <c r="F1353" s="16"/>
      <c r="G1353" s="6" t="s">
        <f>=A1353-A1352</f>
      </c>
      <c r="H1353" s="6" t="s">
        <f>=B1353+H1352</f>
      </c>
      <c r="I1353" s="6" t="s">
        <f>=G1353*H1352</f>
      </c>
    </row>
    <row collapsed="false" customFormat="false" customHeight="false" hidden="false" ht="12.1" outlineLevel="0" r="1354">
      <c r="A1354" s="13" t="n">
        <v>46010</v>
      </c>
      <c r="B1354" s="6" t="n">
        <v>-14.92</v>
      </c>
      <c r="C1354" s="6" t="n">
        <v>-14.92</v>
      </c>
      <c r="D1354" s="16" t="s">
        <v>870</v>
      </c>
      <c r="E1354" s="16"/>
      <c r="F1354" s="16"/>
      <c r="G1354" s="6" t="s">
        <f>=A1354-A1353</f>
      </c>
      <c r="H1354" s="6" t="s">
        <f>=B1354+H1353</f>
      </c>
      <c r="I1354" s="6" t="s">
        <f>=G1354*H1353</f>
      </c>
    </row>
    <row collapsed="false" customFormat="false" customHeight="false" hidden="false" ht="12.1" outlineLevel="0" r="1355">
      <c r="A1355" s="13" t="n">
        <v>46010</v>
      </c>
      <c r="B1355" s="6" t="n">
        <v>-11.18</v>
      </c>
      <c r="C1355" s="6" t="n">
        <v>-11.18</v>
      </c>
      <c r="D1355" s="16" t="s">
        <v>613</v>
      </c>
      <c r="E1355" s="16"/>
      <c r="F1355" s="16"/>
      <c r="G1355" s="6" t="s">
        <f>=A1355-A1354</f>
      </c>
      <c r="H1355" s="6" t="s">
        <f>=B1355+H1354</f>
      </c>
      <c r="I1355" s="6" t="s">
        <f>=G1355*H1354</f>
      </c>
    </row>
    <row collapsed="false" customFormat="false" customHeight="false" hidden="false" ht="12.1" outlineLevel="0" r="1356">
      <c r="A1356" s="13" t="n">
        <v>46010.449224537</v>
      </c>
      <c r="B1356" s="6" t="n">
        <v>20.96</v>
      </c>
      <c r="C1356" s="6" t="n">
        <v>20.96</v>
      </c>
      <c r="D1356" s="16" t="s">
        <v>759</v>
      </c>
      <c r="E1356" s="16"/>
      <c r="F1356" s="16"/>
      <c r="G1356" s="6" t="s">
        <f>=A1356-A1355</f>
      </c>
      <c r="H1356" s="6" t="s">
        <f>=B1356+H1355</f>
      </c>
      <c r="I1356" s="6" t="s">
        <f>=G1356*H1355</f>
      </c>
    </row>
    <row collapsed="false" customFormat="false" customHeight="false" hidden="false" ht="12.1" outlineLevel="0" r="1357">
      <c r="A1357" s="13" t="n">
        <v>46012</v>
      </c>
      <c r="B1357" s="6" t="n">
        <v>-28.94</v>
      </c>
      <c r="C1357" s="6" t="n">
        <v>-28.94</v>
      </c>
      <c r="D1357" s="16" t="s">
        <v>871</v>
      </c>
      <c r="E1357" s="16"/>
      <c r="F1357" s="16"/>
      <c r="G1357" s="6" t="s">
        <f>=A1357-A1356</f>
      </c>
      <c r="H1357" s="6" t="s">
        <f>=B1357+H1356</f>
      </c>
      <c r="I1357" s="6" t="s">
        <f>=G1357*H1356</f>
      </c>
    </row>
    <row collapsed="false" customFormat="false" customHeight="false" hidden="false" ht="12.1" outlineLevel="0" r="1358">
      <c r="A1358" s="13" t="n">
        <v>46013</v>
      </c>
      <c r="B1358" s="6" t="n">
        <v>-360</v>
      </c>
      <c r="C1358" s="6" t="n">
        <v>-360</v>
      </c>
      <c r="D1358" s="16" t="s">
        <v>872</v>
      </c>
      <c r="E1358" s="16"/>
      <c r="F1358" s="16"/>
      <c r="G1358" s="6" t="s">
        <f>=A1358-A1357</f>
      </c>
      <c r="H1358" s="6" t="s">
        <f>=B1358+H1357</f>
      </c>
      <c r="I1358" s="6" t="s">
        <f>=G1358*H1357</f>
      </c>
    </row>
    <row collapsed="false" customFormat="false" customHeight="false" hidden="false" ht="12.1" outlineLevel="0" r="1359">
      <c r="A1359" s="13" t="n">
        <v>46013.509780093</v>
      </c>
      <c r="B1359" s="6" t="n">
        <v>11.18</v>
      </c>
      <c r="C1359" s="6" t="n">
        <v>11.18</v>
      </c>
      <c r="D1359" s="16" t="s">
        <v>616</v>
      </c>
      <c r="E1359" s="16"/>
      <c r="F1359" s="16"/>
      <c r="G1359" s="6" t="s">
        <f>=A1359-A1358</f>
      </c>
      <c r="H1359" s="6" t="s">
        <f>=B1359+H1358</f>
      </c>
      <c r="I1359" s="6" t="s">
        <f>=G1359*H1358</f>
      </c>
    </row>
    <row collapsed="false" customFormat="false" customHeight="false" hidden="false" ht="12.1" outlineLevel="0" r="1360">
      <c r="A1360" s="13" t="n">
        <v>46013.516759259</v>
      </c>
      <c r="B1360" s="6" t="n">
        <v>14.92</v>
      </c>
      <c r="C1360" s="6" t="n">
        <v>14.92</v>
      </c>
      <c r="D1360" s="16" t="s">
        <v>726</v>
      </c>
      <c r="E1360" s="16"/>
      <c r="F1360" s="16"/>
      <c r="G1360" s="6" t="s">
        <f>=A1360-A1359</f>
      </c>
      <c r="H1360" s="6" t="s">
        <f>=B1360+H1359</f>
      </c>
      <c r="I1360" s="6" t="s">
        <f>=G1360*H1359</f>
      </c>
    </row>
    <row collapsed="false" customFormat="false" customHeight="false" hidden="false" ht="12.1" outlineLevel="0" r="1361">
      <c r="A1361" s="13" t="n">
        <v>46014.517303241</v>
      </c>
      <c r="B1361" s="6" t="n">
        <v>28.94</v>
      </c>
      <c r="C1361" s="6" t="n">
        <v>28.94</v>
      </c>
      <c r="D1361" s="16" t="s">
        <v>590</v>
      </c>
      <c r="E1361" s="16"/>
      <c r="F1361" s="16"/>
      <c r="G1361" s="6" t="s">
        <f>=A1361-A1360</f>
      </c>
      <c r="H1361" s="6" t="s">
        <f>=B1361+H1360</f>
      </c>
      <c r="I1361" s="6" t="s">
        <f>=G1361*H1360</f>
      </c>
    </row>
    <row collapsed="false" customFormat="false" customHeight="false" hidden="false" ht="12.1" outlineLevel="0" r="1362">
      <c r="A1362" s="13" t="n">
        <v>46015</v>
      </c>
      <c r="B1362" s="6" t="n">
        <v>-164.55</v>
      </c>
      <c r="C1362" s="6" t="n">
        <v>-164.55</v>
      </c>
      <c r="D1362" s="16" t="s">
        <v>873</v>
      </c>
      <c r="E1362" s="16"/>
      <c r="F1362" s="16"/>
      <c r="G1362" s="6" t="s">
        <f>=A1362-A1361</f>
      </c>
      <c r="H1362" s="6" t="s">
        <f>=B1362+H1361</f>
      </c>
      <c r="I1362" s="6" t="s">
        <f>=G1362*H1361</f>
      </c>
    </row>
    <row collapsed="false" customFormat="false" customHeight="false" hidden="false" ht="12.1" outlineLevel="0" r="1363">
      <c r="A1363" s="13" t="n">
        <v>46015</v>
      </c>
      <c r="B1363" s="6" t="n">
        <v>-239.36</v>
      </c>
      <c r="C1363" s="6" t="n">
        <v>-239.36</v>
      </c>
      <c r="D1363" s="16" t="s">
        <v>874</v>
      </c>
      <c r="E1363" s="16"/>
      <c r="F1363" s="16"/>
      <c r="G1363" s="6" t="s">
        <f>=A1363-A1362</f>
      </c>
      <c r="H1363" s="6" t="s">
        <f>=B1363+H1362</f>
      </c>
      <c r="I1363" s="6" t="s">
        <f>=G1363*H1362</f>
      </c>
    </row>
    <row collapsed="false" customFormat="false" customHeight="false" hidden="false" ht="12.1" outlineLevel="0" r="1364">
      <c r="A1364" s="13" t="n">
        <v>46015.580555556</v>
      </c>
      <c r="B1364" s="6" t="n">
        <v>360</v>
      </c>
      <c r="C1364" s="6" t="n">
        <v>360</v>
      </c>
      <c r="D1364" s="16" t="s">
        <v>734</v>
      </c>
      <c r="E1364" s="16"/>
      <c r="F1364" s="16"/>
      <c r="G1364" s="6" t="s">
        <f>=A1364-A1363</f>
      </c>
      <c r="H1364" s="6" t="s">
        <f>=B1364+H1363</f>
      </c>
      <c r="I1364" s="6" t="s">
        <f>=G1364*H1363</f>
      </c>
    </row>
    <row collapsed="false" customFormat="false" customHeight="false" hidden="false" ht="12.1" outlineLevel="0" r="1365">
      <c r="A1365" s="13" t="n">
        <v>46016</v>
      </c>
      <c r="B1365" s="6" t="n">
        <v>-19.48</v>
      </c>
      <c r="C1365" s="6" t="n">
        <v>-19.48</v>
      </c>
      <c r="D1365" s="16" t="s">
        <v>763</v>
      </c>
      <c r="E1365" s="16"/>
      <c r="F1365" s="16"/>
      <c r="G1365" s="6" t="s">
        <f>=A1365-A1364</f>
      </c>
      <c r="H1365" s="6" t="s">
        <f>=B1365+H1364</f>
      </c>
      <c r="I1365" s="6" t="s">
        <f>=G1365*H1364</f>
      </c>
    </row>
    <row collapsed="false" customFormat="false" customHeight="false" hidden="false" ht="12.1" outlineLevel="0" r="1366">
      <c r="A1366" s="13" t="n">
        <v>46016.446134259</v>
      </c>
      <c r="B1366" s="6" t="n">
        <v>239.36</v>
      </c>
      <c r="C1366" s="6" t="n">
        <v>239.36</v>
      </c>
      <c r="D1366" s="16" t="s">
        <v>875</v>
      </c>
      <c r="E1366" s="16"/>
      <c r="F1366" s="16"/>
      <c r="G1366" s="6" t="s">
        <f>=A1366-A1365</f>
      </c>
      <c r="H1366" s="6" t="s">
        <f>=B1366+H1365</f>
      </c>
      <c r="I1366" s="6" t="s">
        <f>=G1366*H1365</f>
      </c>
    </row>
    <row collapsed="false" customFormat="false" customHeight="false" hidden="false" ht="12.1" outlineLevel="0" r="1367">
      <c r="A1367" s="13" t="n">
        <v>46016.458634259</v>
      </c>
      <c r="B1367" s="6" t="n">
        <v>164.55</v>
      </c>
      <c r="C1367" s="6" t="n">
        <v>164.55</v>
      </c>
      <c r="D1367" s="16" t="s">
        <v>876</v>
      </c>
      <c r="E1367" s="16"/>
      <c r="F1367" s="16"/>
      <c r="G1367" s="6" t="s">
        <f>=A1367-A1366</f>
      </c>
      <c r="H1367" s="6" t="s">
        <f>=B1367+H1366</f>
      </c>
      <c r="I1367" s="6" t="s">
        <f>=G1367*H1366</f>
      </c>
    </row>
    <row collapsed="false" customFormat="false" customHeight="false" hidden="false" ht="12.1" outlineLevel="0" r="1368">
      <c r="A1368" s="13" t="n">
        <v>46017</v>
      </c>
      <c r="B1368" s="6" t="n">
        <v>-32.9</v>
      </c>
      <c r="C1368" s="6" t="n">
        <v>-32.9</v>
      </c>
      <c r="D1368" s="16" t="s">
        <v>877</v>
      </c>
      <c r="E1368" s="16"/>
      <c r="F1368" s="16"/>
      <c r="G1368" s="6" t="s">
        <f>=A1368-A1367</f>
      </c>
      <c r="H1368" s="6" t="s">
        <f>=B1368+H1367</f>
      </c>
      <c r="I1368" s="6" t="s">
        <f>=G1368*H1367</f>
      </c>
    </row>
    <row collapsed="false" customFormat="false" customHeight="false" hidden="false" ht="12.1" outlineLevel="0" r="1369">
      <c r="A1369" s="13" t="n">
        <v>46017.489282407</v>
      </c>
      <c r="B1369" s="6" t="n">
        <v>19.48</v>
      </c>
      <c r="C1369" s="6" t="n">
        <v>19.48</v>
      </c>
      <c r="D1369" s="16" t="s">
        <v>764</v>
      </c>
      <c r="E1369" s="16"/>
      <c r="F1369" s="16"/>
      <c r="G1369" s="6" t="s">
        <f>=A1369-A1368</f>
      </c>
      <c r="H1369" s="6" t="s">
        <f>=B1369+H1368</f>
      </c>
      <c r="I1369" s="6" t="s">
        <f>=G1369*H1368</f>
      </c>
    </row>
    <row collapsed="false" customFormat="false" customHeight="false" hidden="false" ht="12.1" outlineLevel="0" r="1370">
      <c r="A1370" s="13" t="n">
        <v>46020.46662037</v>
      </c>
      <c r="B1370" s="6" t="n">
        <v>32.9</v>
      </c>
      <c r="C1370" s="6" t="n">
        <v>32.9</v>
      </c>
      <c r="D1370" s="16" t="s">
        <v>495</v>
      </c>
      <c r="E1370" s="16"/>
      <c r="F1370" s="16"/>
      <c r="G1370" s="6" t="s">
        <f>=A1370-A1369</f>
      </c>
      <c r="H1370" s="6" t="s">
        <f>=B1370+H1369</f>
      </c>
      <c r="I1370" s="6" t="s">
        <f>=G1370*H1369</f>
      </c>
    </row>
    <row collapsed="false" customFormat="false" customHeight="false" hidden="false" ht="12.1" outlineLevel="0" r="1371">
      <c r="A1371" s="13" t="n">
        <v>46023</v>
      </c>
      <c r="B1371" s="6" t="n">
        <v>-14.99</v>
      </c>
      <c r="C1371" s="6" t="n">
        <v>-14.99</v>
      </c>
      <c r="D1371" s="16" t="s">
        <v>878</v>
      </c>
      <c r="E1371" s="16"/>
      <c r="F1371" s="16"/>
      <c r="G1371" s="6" t="s">
        <f>=A1371-A1370</f>
      </c>
      <c r="H1371" s="6" t="s">
        <f>=B1371+H1370</f>
      </c>
      <c r="I1371" s="6" t="s">
        <f>=G1371*H1370</f>
      </c>
    </row>
    <row collapsed="false" customFormat="false" customHeight="false" hidden="false" ht="12.1" outlineLevel="0" r="1372">
      <c r="A1372" s="13" t="n">
        <v>46024</v>
      </c>
      <c r="B1372" s="6" t="n">
        <v>-3.28</v>
      </c>
      <c r="C1372" s="6" t="n">
        <v>-3.28</v>
      </c>
      <c r="D1372" s="16" t="s">
        <v>784</v>
      </c>
      <c r="E1372" s="16"/>
      <c r="F1372" s="16"/>
      <c r="G1372" s="6" t="s">
        <f>=A1372-A1371</f>
      </c>
      <c r="H1372" s="6" t="s">
        <f>=B1372+H1371</f>
      </c>
      <c r="I1372" s="6" t="s">
        <f>=G1372*H1371</f>
      </c>
    </row>
    <row collapsed="false" customFormat="false" customHeight="false" hidden="false" ht="12.1" outlineLevel="0" r="1373">
      <c r="A1373" s="13" t="n">
        <v>46024.880902778</v>
      </c>
      <c r="B1373" s="6" t="n">
        <v>11580</v>
      </c>
      <c r="C1373" s="6" t="n">
        <v>11580</v>
      </c>
      <c r="D1373" s="16" t="s">
        <v>350</v>
      </c>
      <c r="E1373" s="16"/>
      <c r="F1373" s="16"/>
      <c r="G1373" s="6" t="s">
        <f>=A1373-A1372</f>
      </c>
      <c r="H1373" s="6" t="s">
        <f>=B1373+H1372</f>
      </c>
      <c r="I1373" s="6" t="s">
        <f>=G1373*H1372</f>
      </c>
    </row>
    <row collapsed="false" customFormat="false" customHeight="false" hidden="false" ht="12.1" outlineLevel="0" r="1374">
      <c r="A1374" s="13" t="n">
        <v>46025</v>
      </c>
      <c r="B1374" s="6" t="n">
        <v>-19.11</v>
      </c>
      <c r="C1374" s="6" t="n">
        <v>-19.11</v>
      </c>
      <c r="D1374" s="16" t="s">
        <v>743</v>
      </c>
      <c r="E1374" s="16"/>
      <c r="F1374" s="16"/>
      <c r="G1374" s="6" t="s">
        <f>=A1374-A1373</f>
      </c>
      <c r="H1374" s="6" t="s">
        <f>=B1374+H1373</f>
      </c>
      <c r="I1374" s="6" t="s">
        <f>=G1374*H1373</f>
      </c>
    </row>
    <row collapsed="false" customFormat="false" customHeight="false" hidden="false" ht="12.1" outlineLevel="0" r="1375">
      <c r="A1375" s="13" t="n">
        <v>46026</v>
      </c>
      <c r="B1375" s="6" t="n">
        <v>-30.3</v>
      </c>
      <c r="C1375" s="6" t="n">
        <v>-30.3</v>
      </c>
      <c r="D1375" s="16" t="s">
        <v>879</v>
      </c>
      <c r="E1375" s="16"/>
      <c r="F1375" s="16"/>
      <c r="G1375" s="6" t="s">
        <f>=A1375-A1374</f>
      </c>
      <c r="H1375" s="6" t="s">
        <f>=B1375+H1374</f>
      </c>
      <c r="I1375" s="6" t="s">
        <f>=G1375*H1374</f>
      </c>
    </row>
    <row collapsed="false" customFormat="false" customHeight="false" hidden="false" ht="12.1" outlineLevel="0" r="1376">
      <c r="A1376" s="13" t="n">
        <v>46027</v>
      </c>
      <c r="B1376" s="6" t="n">
        <v>-44.88</v>
      </c>
      <c r="C1376" s="6" t="n">
        <v>-44.88</v>
      </c>
      <c r="D1376" s="16" t="s">
        <v>785</v>
      </c>
      <c r="E1376" s="16"/>
      <c r="F1376" s="16"/>
      <c r="G1376" s="6" t="s">
        <f>=A1376-A1375</f>
      </c>
      <c r="H1376" s="6" t="s">
        <f>=B1376+H1375</f>
      </c>
      <c r="I1376" s="6" t="s">
        <f>=G1376*H1375</f>
      </c>
    </row>
    <row collapsed="false" customFormat="false" customHeight="false" hidden="false" ht="12.1" outlineLevel="0" r="1377">
      <c r="A1377" s="13" t="n">
        <v>46030</v>
      </c>
      <c r="B1377" s="6" t="n">
        <v>-252</v>
      </c>
      <c r="C1377" s="6" t="n">
        <v>-252</v>
      </c>
      <c r="D1377" s="16" t="s">
        <v>880</v>
      </c>
      <c r="E1377" s="16"/>
      <c r="F1377" s="16"/>
      <c r="G1377" s="6" t="s">
        <f>=A1377-A1376</f>
      </c>
      <c r="H1377" s="6" t="s">
        <f>=B1377+H1376</f>
      </c>
      <c r="I1377" s="6" t="s">
        <f>=G1377*H1376</f>
      </c>
    </row>
    <row collapsed="false" customFormat="false" customHeight="false" hidden="false" ht="12.1" outlineLevel="0" r="1378">
      <c r="A1378" s="13" t="n">
        <v>46032</v>
      </c>
      <c r="B1378" s="6" t="n">
        <v>-14.96</v>
      </c>
      <c r="C1378" s="6" t="n">
        <v>-14.96</v>
      </c>
      <c r="D1378" s="16" t="s">
        <v>881</v>
      </c>
      <c r="E1378" s="16"/>
      <c r="F1378" s="16"/>
      <c r="G1378" s="6" t="s">
        <f>=A1378-A1377</f>
      </c>
      <c r="H1378" s="6" t="s">
        <f>=B1378+H1377</f>
      </c>
      <c r="I1378" s="6" t="s">
        <f>=G1378*H1377</f>
      </c>
    </row>
    <row collapsed="false" customFormat="false" customHeight="false" hidden="false" ht="12.1" outlineLevel="0" r="1379">
      <c r="A1379" s="13" t="n">
        <v>46033</v>
      </c>
      <c r="B1379" s="6" t="n">
        <v>-81.3</v>
      </c>
      <c r="C1379" s="6" t="n">
        <v>-81.3</v>
      </c>
      <c r="D1379" s="16" t="s">
        <v>882</v>
      </c>
      <c r="E1379" s="16"/>
      <c r="F1379" s="16"/>
      <c r="G1379" s="6" t="s">
        <f>=A1379-A1378</f>
      </c>
      <c r="H1379" s="6" t="s">
        <f>=B1379+H1378</f>
      </c>
      <c r="I1379" s="6" t="s">
        <f>=G1379*H1378</f>
      </c>
    </row>
    <row collapsed="false" customFormat="false" customHeight="false" hidden="false" ht="12.1" outlineLevel="0" r="1380">
      <c r="A1380" s="13" t="n">
        <v>46034.588414352</v>
      </c>
      <c r="B1380" s="6" t="n">
        <v>3.28</v>
      </c>
      <c r="C1380" s="6" t="n">
        <v>3.28</v>
      </c>
      <c r="D1380" s="16" t="s">
        <v>787</v>
      </c>
      <c r="E1380" s="16"/>
      <c r="F1380" s="16"/>
      <c r="G1380" s="6" t="s">
        <f>=A1380-A1379</f>
      </c>
      <c r="H1380" s="6" t="s">
        <f>=B1380+H1379</f>
      </c>
      <c r="I1380" s="6" t="s">
        <f>=G1380*H1379</f>
      </c>
    </row>
    <row collapsed="false" customFormat="false" customHeight="false" hidden="false" ht="12.1" outlineLevel="0" r="1381">
      <c r="A1381" s="13" t="n">
        <v>46034.617789352</v>
      </c>
      <c r="B1381" s="6" t="n">
        <v>44.88</v>
      </c>
      <c r="C1381" s="6" t="n">
        <v>44.88</v>
      </c>
      <c r="D1381" s="16" t="s">
        <v>788</v>
      </c>
      <c r="E1381" s="16"/>
      <c r="F1381" s="16"/>
      <c r="G1381" s="6" t="s">
        <f>=A1381-A1380</f>
      </c>
      <c r="H1381" s="6" t="s">
        <f>=B1381+H1380</f>
      </c>
      <c r="I1381" s="6" t="s">
        <f>=G1381*H1380</f>
      </c>
    </row>
    <row collapsed="false" customFormat="false" customHeight="false" hidden="false" ht="12.1" outlineLevel="0" r="1382">
      <c r="A1382" s="13" t="n">
        <v>46034.634699074</v>
      </c>
      <c r="B1382" s="6" t="n">
        <v>14.99</v>
      </c>
      <c r="C1382" s="6" t="n">
        <v>14.99</v>
      </c>
      <c r="D1382" s="16" t="s">
        <v>520</v>
      </c>
      <c r="E1382" s="16"/>
      <c r="F1382" s="16"/>
      <c r="G1382" s="6" t="s">
        <f>=A1382-A1381</f>
      </c>
      <c r="H1382" s="6" t="s">
        <f>=B1382+H1381</f>
      </c>
      <c r="I1382" s="6" t="s">
        <f>=G1382*H1381</f>
      </c>
    </row>
    <row collapsed="false" customFormat="false" customHeight="false" hidden="false" ht="12.1" outlineLevel="0" r="1383">
      <c r="A1383" s="13" t="n">
        <v>46034.789305556</v>
      </c>
      <c r="B1383" s="6" t="n">
        <v>30.3</v>
      </c>
      <c r="C1383" s="6" t="n">
        <v>30.3</v>
      </c>
      <c r="D1383" s="16" t="s">
        <v>454</v>
      </c>
      <c r="E1383" s="16"/>
      <c r="F1383" s="16"/>
      <c r="G1383" s="6" t="s">
        <f>=A1383-A1382</f>
      </c>
      <c r="H1383" s="6" t="s">
        <f>=B1383+H1382</f>
      </c>
      <c r="I1383" s="6" t="s">
        <f>=G1383*H1382</f>
      </c>
    </row>
    <row collapsed="false" customFormat="false" customHeight="false" hidden="false" ht="12.1" outlineLevel="0" r="1384">
      <c r="A1384" s="13" t="n">
        <v>46035</v>
      </c>
      <c r="B1384" s="6" t="n">
        <v>-49.86</v>
      </c>
      <c r="C1384" s="6" t="n">
        <v>-49.86</v>
      </c>
      <c r="D1384" s="16" t="s">
        <v>791</v>
      </c>
      <c r="E1384" s="16"/>
      <c r="F1384" s="16"/>
      <c r="G1384" s="6" t="s">
        <f>=A1384-A1383</f>
      </c>
      <c r="H1384" s="6" t="s">
        <f>=B1384+H1383</f>
      </c>
      <c r="I1384" s="6" t="s">
        <f>=G1384*H1383</f>
      </c>
    </row>
    <row collapsed="false" customFormat="false" customHeight="false" hidden="false" ht="12.1" outlineLevel="0" r="1385">
      <c r="A1385" s="13" t="n">
        <v>46035.456261574</v>
      </c>
      <c r="B1385" s="6" t="n">
        <v>14.96</v>
      </c>
      <c r="C1385" s="6" t="n">
        <v>14.96</v>
      </c>
      <c r="D1385" s="16" t="s">
        <v>745</v>
      </c>
      <c r="E1385" s="16"/>
      <c r="F1385" s="16"/>
      <c r="G1385" s="6" t="s">
        <f>=A1385-A1384</f>
      </c>
      <c r="H1385" s="6" t="s">
        <f>=B1385+H1384</f>
      </c>
      <c r="I1385" s="6" t="s">
        <f>=G1385*H1384</f>
      </c>
    </row>
    <row collapsed="false" customFormat="false" customHeight="false" hidden="false" ht="12.1" outlineLevel="0" r="1386">
      <c r="A1386" s="13" t="n">
        <v>46035.754826389</v>
      </c>
      <c r="B1386" s="6" t="n">
        <v>49.86</v>
      </c>
      <c r="C1386" s="6" t="n">
        <v>49.86</v>
      </c>
      <c r="D1386" s="16" t="s">
        <v>727</v>
      </c>
      <c r="E1386" s="16"/>
      <c r="F1386" s="16"/>
      <c r="G1386" s="6" t="s">
        <f>=A1386-A1385</f>
      </c>
      <c r="H1386" s="6" t="s">
        <f>=B1386+H1385</f>
      </c>
      <c r="I1386" s="6" t="s">
        <f>=G1386*H1385</f>
      </c>
    </row>
    <row collapsed="false" customFormat="false" customHeight="false" hidden="false" ht="12.1" outlineLevel="0" r="1387">
      <c r="A1387" s="13" t="n">
        <v>46035.756273148</v>
      </c>
      <c r="B1387" s="6" t="n">
        <v>19.11</v>
      </c>
      <c r="C1387" s="6" t="n">
        <v>19.11</v>
      </c>
      <c r="D1387" s="16" t="s">
        <v>748</v>
      </c>
      <c r="E1387" s="16"/>
      <c r="F1387" s="16"/>
      <c r="G1387" s="6" t="s">
        <f>=A1387-A1386</f>
      </c>
      <c r="H1387" s="6" t="s">
        <f>=B1387+H1386</f>
      </c>
      <c r="I1387" s="6" t="s">
        <f>=G1387*H1386</f>
      </c>
    </row>
    <row collapsed="false" customFormat="false" customHeight="false" hidden="false" ht="12.1" outlineLevel="0" r="1388">
      <c r="A1388" s="13" t="n">
        <v>46036</v>
      </c>
      <c r="B1388" s="6" t="n">
        <v>-26.18</v>
      </c>
      <c r="C1388" s="6" t="n">
        <v>-26.18</v>
      </c>
      <c r="D1388" s="16" t="s">
        <v>626</v>
      </c>
      <c r="E1388" s="16"/>
      <c r="F1388" s="16"/>
      <c r="G1388" s="6" t="s">
        <f>=A1388-A1387</f>
      </c>
      <c r="H1388" s="6" t="s">
        <f>=B1388+H1387</f>
      </c>
      <c r="I1388" s="6" t="s">
        <f>=G1388*H1387</f>
      </c>
    </row>
    <row collapsed="false" customFormat="false" customHeight="false" hidden="false" ht="12.1" outlineLevel="0" r="1389">
      <c r="A1389" s="13" t="n">
        <v>46036.492789352</v>
      </c>
      <c r="B1389" s="6" t="n">
        <v>252</v>
      </c>
      <c r="C1389" s="6" t="n">
        <v>252</v>
      </c>
      <c r="D1389" s="16" t="s">
        <v>758</v>
      </c>
      <c r="E1389" s="16"/>
      <c r="F1389" s="16"/>
      <c r="G1389" s="6" t="s">
        <f>=A1389-A1388</f>
      </c>
      <c r="H1389" s="6" t="s">
        <f>=B1389+H1388</f>
      </c>
      <c r="I1389" s="6" t="s">
        <f>=G1389*H1388</f>
      </c>
    </row>
    <row collapsed="false" customFormat="false" customHeight="false" hidden="false" ht="12.1" outlineLevel="0" r="1390">
      <c r="A1390" s="13" t="n">
        <v>46037</v>
      </c>
      <c r="B1390" s="6" t="n">
        <v>-50.86</v>
      </c>
      <c r="C1390" s="6" t="n">
        <v>-50.86</v>
      </c>
      <c r="D1390" s="16" t="s">
        <v>795</v>
      </c>
      <c r="E1390" s="16"/>
      <c r="F1390" s="16"/>
      <c r="G1390" s="6" t="s">
        <f>=A1390-A1389</f>
      </c>
      <c r="H1390" s="6" t="s">
        <f>=B1390+H1389</f>
      </c>
      <c r="I1390" s="6" t="s">
        <f>=G1390*H1389</f>
      </c>
    </row>
    <row collapsed="false" customFormat="false" customHeight="false" hidden="false" ht="12.1" outlineLevel="0" r="1391">
      <c r="A1391" s="13" t="n">
        <v>46037</v>
      </c>
      <c r="B1391" s="6" t="n">
        <v>-86.26</v>
      </c>
      <c r="C1391" s="6" t="n">
        <v>-86.26</v>
      </c>
      <c r="D1391" s="16" t="s">
        <v>798</v>
      </c>
      <c r="E1391" s="16"/>
      <c r="F1391" s="16"/>
      <c r="G1391" s="6" t="s">
        <f>=A1391-A1390</f>
      </c>
      <c r="H1391" s="6" t="s">
        <f>=B1391+H1390</f>
      </c>
      <c r="I1391" s="6" t="s">
        <f>=G1391*H1390</f>
      </c>
    </row>
    <row collapsed="false" customFormat="false" customHeight="false" hidden="false" ht="12.1" outlineLevel="0" r="1392">
      <c r="A1392" s="13" t="n">
        <v>46037.610162037</v>
      </c>
      <c r="B1392" s="6" t="n">
        <v>26.18</v>
      </c>
      <c r="C1392" s="6" t="n">
        <v>26.18</v>
      </c>
      <c r="D1392" s="16" t="s">
        <v>629</v>
      </c>
      <c r="E1392" s="16"/>
      <c r="F1392" s="16"/>
      <c r="G1392" s="6" t="s">
        <f>=A1392-A1391</f>
      </c>
      <c r="H1392" s="6" t="s">
        <f>=B1392+H1391</f>
      </c>
      <c r="I1392" s="6" t="s">
        <f>=G1392*H1391</f>
      </c>
    </row>
    <row collapsed="false" customFormat="false" customHeight="false" hidden="false" ht="12.1" outlineLevel="0" r="1393">
      <c r="A1393" s="13" t="n">
        <v>46038.52306713</v>
      </c>
      <c r="B1393" s="6" t="n">
        <v>86.26</v>
      </c>
      <c r="C1393" s="6" t="n">
        <v>86.26</v>
      </c>
      <c r="D1393" s="16" t="s">
        <v>803</v>
      </c>
      <c r="E1393" s="16"/>
      <c r="F1393" s="16"/>
      <c r="G1393" s="6" t="s">
        <f>=A1393-A1392</f>
      </c>
      <c r="H1393" s="6" t="s">
        <f>=B1393+H1392</f>
      </c>
      <c r="I1393" s="6" t="s">
        <f>=G1393*H1392</f>
      </c>
    </row>
    <row collapsed="false" customFormat="false" customHeight="false" hidden="false" ht="12.1" outlineLevel="0" r="1394">
      <c r="A1394" s="13" t="n">
        <v>46038.527523148</v>
      </c>
      <c r="B1394" s="6" t="n">
        <v>50.86</v>
      </c>
      <c r="C1394" s="6" t="n">
        <v>50.86</v>
      </c>
      <c r="D1394" s="16" t="s">
        <v>804</v>
      </c>
      <c r="E1394" s="16"/>
      <c r="F1394" s="16"/>
      <c r="G1394" s="6" t="s">
        <f>=A1394-A1393</f>
      </c>
      <c r="H1394" s="6" t="s">
        <f>=B1394+H1393</f>
      </c>
      <c r="I1394" s="6" t="s">
        <f>=G1394*H1393</f>
      </c>
    </row>
    <row collapsed="false" customFormat="false" customHeight="false" hidden="false" ht="12.1" outlineLevel="0" r="1395">
      <c r="A1395" s="13" t="n">
        <v>46039</v>
      </c>
      <c r="B1395" s="6" t="n">
        <v>-20.96</v>
      </c>
      <c r="C1395" s="6" t="n">
        <v>-20.96</v>
      </c>
      <c r="D1395" s="16" t="s">
        <v>757</v>
      </c>
      <c r="E1395" s="16"/>
      <c r="F1395" s="16"/>
      <c r="G1395" s="6" t="s">
        <f>=A1395-A1394</f>
      </c>
      <c r="H1395" s="6" t="s">
        <f>=B1395+H1394</f>
      </c>
      <c r="I1395" s="6" t="s">
        <f>=G1395*H1394</f>
      </c>
    </row>
    <row collapsed="false" customFormat="false" customHeight="false" hidden="false" ht="12.1" outlineLevel="0" r="1396">
      <c r="A1396" s="13" t="n">
        <v>46040</v>
      </c>
      <c r="B1396" s="6" t="n">
        <v>-11.18</v>
      </c>
      <c r="C1396" s="6" t="n">
        <v>-11.18</v>
      </c>
      <c r="D1396" s="16" t="s">
        <v>613</v>
      </c>
      <c r="E1396" s="16"/>
      <c r="F1396" s="16"/>
      <c r="G1396" s="6" t="s">
        <f>=A1396-A1395</f>
      </c>
      <c r="H1396" s="6" t="s">
        <f>=B1396+H1395</f>
      </c>
      <c r="I1396" s="6" t="s">
        <f>=G1396*H1395</f>
      </c>
    </row>
    <row collapsed="false" customFormat="false" customHeight="false" hidden="false" ht="12.1" outlineLevel="0" r="1397">
      <c r="A1397" s="13" t="n">
        <v>46041</v>
      </c>
      <c r="B1397" s="6" t="n">
        <v>-14.86</v>
      </c>
      <c r="C1397" s="6" t="n">
        <v>-14.86</v>
      </c>
      <c r="D1397" s="16" t="s">
        <v>883</v>
      </c>
      <c r="E1397" s="16"/>
      <c r="F1397" s="16"/>
      <c r="G1397" s="6" t="s">
        <f>=A1397-A1396</f>
      </c>
      <c r="H1397" s="6" t="s">
        <f>=B1397+H1396</f>
      </c>
      <c r="I1397" s="6" t="s">
        <f>=G1397*H1396</f>
      </c>
    </row>
    <row collapsed="false" customFormat="false" customHeight="false" hidden="false" ht="12.1" outlineLevel="0" r="1398">
      <c r="A1398" s="13" t="n">
        <v>46041</v>
      </c>
      <c r="B1398" s="6" t="n">
        <v>-108.7</v>
      </c>
      <c r="C1398" s="6" t="n">
        <v>-108.7</v>
      </c>
      <c r="D1398" s="16" t="s">
        <v>805</v>
      </c>
      <c r="E1398" s="16"/>
      <c r="F1398" s="16"/>
      <c r="G1398" s="6" t="s">
        <f>=A1398-A1397</f>
      </c>
      <c r="H1398" s="6" t="s">
        <f>=B1398+H1397</f>
      </c>
      <c r="I1398" s="6" t="s">
        <f>=G1398*H1397</f>
      </c>
    </row>
    <row collapsed="false" customFormat="false" customHeight="false" hidden="false" ht="12.1" outlineLevel="0" r="1399">
      <c r="A1399" s="13" t="n">
        <v>46041</v>
      </c>
      <c r="B1399" s="6" t="n">
        <v>-165</v>
      </c>
      <c r="C1399" s="6" t="n">
        <v>-165</v>
      </c>
      <c r="D1399" s="16" t="s">
        <v>675</v>
      </c>
      <c r="E1399" s="16"/>
      <c r="F1399" s="16"/>
      <c r="G1399" s="6" t="s">
        <f>=A1399-A1398</f>
      </c>
      <c r="H1399" s="6" t="s">
        <f>=B1399+H1398</f>
      </c>
      <c r="I1399" s="6" t="s">
        <f>=G1399*H1398</f>
      </c>
    </row>
    <row collapsed="false" customFormat="false" customHeight="false" hidden="false" ht="12.1" outlineLevel="0" r="1400">
      <c r="A1400" s="13" t="n">
        <v>46042</v>
      </c>
      <c r="B1400" s="6" t="n">
        <v>-28.94</v>
      </c>
      <c r="C1400" s="6" t="n">
        <v>-28.94</v>
      </c>
      <c r="D1400" s="16" t="s">
        <v>871</v>
      </c>
      <c r="E1400" s="16"/>
      <c r="F1400" s="16"/>
      <c r="G1400" s="6" t="s">
        <f>=A1400-A1399</f>
      </c>
      <c r="H1400" s="6" t="s">
        <f>=B1400+H1399</f>
      </c>
      <c r="I1400" s="6" t="s">
        <f>=G1400*H1399</f>
      </c>
    </row>
    <row collapsed="false" customFormat="false" customHeight="false" hidden="false" ht="12.1" outlineLevel="0" r="1401">
      <c r="A1401" s="13" t="n">
        <v>46042</v>
      </c>
      <c r="B1401" s="6" t="n">
        <v>-11.66</v>
      </c>
      <c r="C1401" s="6" t="n">
        <v>-11.66</v>
      </c>
      <c r="D1401" s="16" t="s">
        <v>884</v>
      </c>
      <c r="E1401" s="16"/>
      <c r="F1401" s="16"/>
      <c r="G1401" s="6" t="s">
        <f>=A1401-A1400</f>
      </c>
      <c r="H1401" s="6" t="s">
        <f>=B1401+H1400</f>
      </c>
      <c r="I1401" s="6" t="s">
        <f>=G1401*H1400</f>
      </c>
    </row>
    <row collapsed="false" customFormat="false" customHeight="false" hidden="false" ht="12.1" outlineLevel="0" r="1402">
      <c r="A1402" s="13" t="n">
        <v>46042.521956019</v>
      </c>
      <c r="B1402" s="6" t="n">
        <v>14.86</v>
      </c>
      <c r="C1402" s="6" t="n">
        <v>14.86</v>
      </c>
      <c r="D1402" s="16" t="s">
        <v>726</v>
      </c>
      <c r="E1402" s="16"/>
      <c r="F1402" s="16"/>
      <c r="G1402" s="6" t="s">
        <f>=A1402-A1401</f>
      </c>
      <c r="H1402" s="6" t="s">
        <f>=B1402+H1401</f>
      </c>
      <c r="I1402" s="6" t="s">
        <f>=G1402*H1401</f>
      </c>
    </row>
    <row collapsed="false" customFormat="false" customHeight="false" hidden="false" ht="12.1" outlineLevel="0" r="1403">
      <c r="A1403" s="13" t="n">
        <v>46042.653680556</v>
      </c>
      <c r="B1403" s="6" t="n">
        <v>20.96</v>
      </c>
      <c r="C1403" s="6" t="n">
        <v>20.96</v>
      </c>
      <c r="D1403" s="16" t="s">
        <v>759</v>
      </c>
      <c r="E1403" s="16"/>
      <c r="F1403" s="16"/>
      <c r="G1403" s="6" t="s">
        <f>=A1403-A1402</f>
      </c>
      <c r="H1403" s="6" t="s">
        <f>=B1403+H1402</f>
      </c>
      <c r="I1403" s="6" t="s">
        <f>=G1403*H1402</f>
      </c>
    </row>
    <row collapsed="false" customFormat="false" customHeight="false" hidden="false" ht="12.1" outlineLevel="0" r="1404">
      <c r="A1404" s="13" t="n">
        <v>46042.658009259</v>
      </c>
      <c r="B1404" s="6" t="n">
        <v>11.18</v>
      </c>
      <c r="C1404" s="6" t="n">
        <v>11.18</v>
      </c>
      <c r="D1404" s="16" t="s">
        <v>616</v>
      </c>
      <c r="E1404" s="16"/>
      <c r="F1404" s="16"/>
      <c r="G1404" s="6" t="s">
        <f>=A1404-A1403</f>
      </c>
      <c r="H1404" s="6" t="s">
        <f>=B1404+H1403</f>
      </c>
      <c r="I1404" s="6" t="s">
        <f>=G1404*H1403</f>
      </c>
    </row>
    <row collapsed="false" customFormat="false" customHeight="false" hidden="false" ht="12.1" outlineLevel="0" r="1405">
      <c r="A1405" s="13" t="n">
        <v>46042.731840278</v>
      </c>
      <c r="B1405" s="6" t="n">
        <v>108.7</v>
      </c>
      <c r="C1405" s="6" t="n">
        <v>108.7</v>
      </c>
      <c r="D1405" s="16" t="s">
        <v>676</v>
      </c>
      <c r="E1405" s="16"/>
      <c r="F1405" s="16"/>
      <c r="G1405" s="6" t="s">
        <f>=A1405-A1404</f>
      </c>
      <c r="H1405" s="6" t="s">
        <f>=B1405+H1404</f>
      </c>
      <c r="I1405" s="6" t="s">
        <f>=G1405*H1404</f>
      </c>
    </row>
    <row collapsed="false" customFormat="false" customHeight="false" hidden="false" ht="12.1" outlineLevel="0" r="1406">
      <c r="A1406" s="13" t="n">
        <v>46043</v>
      </c>
      <c r="B1406" s="6" t="n">
        <v>-43.38</v>
      </c>
      <c r="C1406" s="6" t="n">
        <v>-43.38</v>
      </c>
      <c r="D1406" s="16" t="s">
        <v>439</v>
      </c>
      <c r="E1406" s="16"/>
      <c r="F1406" s="16"/>
      <c r="G1406" s="6" t="s">
        <f>=A1406-A1405</f>
      </c>
      <c r="H1406" s="6" t="s">
        <f>=B1406+H1405</f>
      </c>
      <c r="I1406" s="6" t="s">
        <f>=G1406*H1405</f>
      </c>
    </row>
    <row collapsed="false" customFormat="false" customHeight="false" hidden="false" ht="12.1" outlineLevel="0" r="1407">
      <c r="A1407" s="13" t="n">
        <v>46043</v>
      </c>
      <c r="B1407" s="6" t="n">
        <v>-44.13</v>
      </c>
      <c r="C1407" s="6" t="n">
        <v>-44.13</v>
      </c>
      <c r="D1407" s="16" t="s">
        <v>885</v>
      </c>
      <c r="E1407" s="16"/>
      <c r="F1407" s="16"/>
      <c r="G1407" s="6" t="s">
        <f>=A1407-A1406</f>
      </c>
      <c r="H1407" s="6" t="s">
        <f>=B1407+H1406</f>
      </c>
      <c r="I1407" s="6" t="s">
        <f>=G1407*H1406</f>
      </c>
    </row>
    <row collapsed="false" customFormat="false" customHeight="false" hidden="false" ht="12.1" outlineLevel="0" r="1408">
      <c r="A1408" s="13" t="n">
        <v>46043.501377315</v>
      </c>
      <c r="B1408" s="6" t="n">
        <v>11.66</v>
      </c>
      <c r="C1408" s="6" t="n">
        <v>11.66</v>
      </c>
      <c r="D1408" s="16" t="s">
        <v>502</v>
      </c>
      <c r="E1408" s="16"/>
      <c r="F1408" s="16"/>
      <c r="G1408" s="6" t="s">
        <f>=A1408-A1407</f>
      </c>
      <c r="H1408" s="6" t="s">
        <f>=B1408+H1407</f>
      </c>
      <c r="I1408" s="6" t="s">
        <f>=G1408*H1407</f>
      </c>
    </row>
    <row collapsed="false" customFormat="false" customHeight="false" hidden="false" ht="12.1" outlineLevel="0" r="1409">
      <c r="A1409" s="13" t="n">
        <v>46043.501516204</v>
      </c>
      <c r="B1409" s="6" t="n">
        <v>165</v>
      </c>
      <c r="C1409" s="6" t="n">
        <v>165</v>
      </c>
      <c r="D1409" s="16" t="s">
        <v>678</v>
      </c>
      <c r="E1409" s="16"/>
      <c r="F1409" s="16"/>
      <c r="G1409" s="6" t="s">
        <f>=A1409-A1408</f>
      </c>
      <c r="H1409" s="6" t="s">
        <f>=B1409+H1408</f>
      </c>
      <c r="I1409" s="6" t="s">
        <f>=G1409*H1408</f>
      </c>
    </row>
    <row collapsed="false" customFormat="false" customHeight="false" hidden="false" ht="12.1" outlineLevel="0" r="1410">
      <c r="A1410" s="13" t="n">
        <v>46043.517523148</v>
      </c>
      <c r="B1410" s="6" t="n">
        <v>28.94</v>
      </c>
      <c r="C1410" s="6" t="n">
        <v>28.94</v>
      </c>
      <c r="D1410" s="16" t="s">
        <v>590</v>
      </c>
      <c r="E1410" s="16"/>
      <c r="F1410" s="16"/>
      <c r="G1410" s="6" t="s">
        <f>=A1410-A1409</f>
      </c>
      <c r="H1410" s="6" t="s">
        <f>=B1410+H1409</f>
      </c>
      <c r="I1410" s="6" t="s">
        <f>=G1410*H1409</f>
      </c>
    </row>
    <row collapsed="false" customFormat="false" customHeight="false" hidden="false" ht="12.1" outlineLevel="0" r="1411">
      <c r="A1411" s="13" t="n">
        <v>46044.474513889</v>
      </c>
      <c r="B1411" s="6" t="n">
        <v>44.13</v>
      </c>
      <c r="C1411" s="6" t="n">
        <v>44.13</v>
      </c>
      <c r="D1411" s="16" t="s">
        <v>473</v>
      </c>
      <c r="E1411" s="16"/>
      <c r="F1411" s="16"/>
      <c r="G1411" s="6" t="s">
        <f>=A1411-A1410</f>
      </c>
      <c r="H1411" s="6" t="s">
        <f>=B1411+H1410</f>
      </c>
      <c r="I1411" s="6" t="s">
        <f>=G1411*H1410</f>
      </c>
    </row>
    <row collapsed="false" customFormat="false" customHeight="false" hidden="false" ht="12.1" outlineLevel="0" r="1412">
      <c r="A1412" s="13" t="n">
        <v>46044.490046296</v>
      </c>
      <c r="B1412" s="6" t="n">
        <v>43.38</v>
      </c>
      <c r="C1412" s="6" t="n">
        <v>43.38</v>
      </c>
      <c r="D1412" s="16" t="s">
        <v>442</v>
      </c>
      <c r="E1412" s="16"/>
      <c r="F1412" s="16"/>
      <c r="G1412" s="6" t="s">
        <f>=A1412-A1411</f>
      </c>
      <c r="H1412" s="6" t="s">
        <f>=B1412+H1411</f>
      </c>
      <c r="I1412" s="6" t="s">
        <f>=G1412*H1411</f>
      </c>
    </row>
    <row collapsed="false" customFormat="false" customHeight="false" hidden="false" ht="12.1" outlineLevel="0" r="1413">
      <c r="A1413" s="13" t="n">
        <v>46046</v>
      </c>
      <c r="B1413" s="6" t="n">
        <v>-19.48</v>
      </c>
      <c r="C1413" s="6" t="n">
        <v>-19.48</v>
      </c>
      <c r="D1413" s="16" t="s">
        <v>763</v>
      </c>
      <c r="E1413" s="16"/>
      <c r="F1413" s="16"/>
      <c r="G1413" s="6" t="s">
        <f>=A1413-A1412</f>
      </c>
      <c r="H1413" s="6" t="s">
        <f>=B1413+H1412</f>
      </c>
      <c r="I1413" s="6" t="s">
        <f>=G1413*H1412</f>
      </c>
    </row>
    <row collapsed="false" customFormat="false" customHeight="false" hidden="false" ht="12.1" outlineLevel="0" r="1414">
      <c r="A1414" s="13" t="n">
        <v>46048</v>
      </c>
      <c r="B1414" s="6" t="n">
        <v>-250</v>
      </c>
      <c r="C1414" s="6" t="n">
        <v>-250</v>
      </c>
      <c r="D1414" s="16" t="s">
        <v>886</v>
      </c>
      <c r="E1414" s="16"/>
      <c r="F1414" s="16"/>
      <c r="G1414" s="6" t="s">
        <f>=A1414-A1413</f>
      </c>
      <c r="H1414" s="6" t="s">
        <f>=B1414+H1413</f>
      </c>
      <c r="I1414" s="6" t="s">
        <f>=G1414*H1413</f>
      </c>
    </row>
    <row collapsed="false" customFormat="false" customHeight="false" hidden="false" ht="12.1" outlineLevel="0" r="1415">
      <c r="A1415" s="13" t="n">
        <v>46048.718993056</v>
      </c>
      <c r="B1415" s="6" t="n">
        <v>81.3</v>
      </c>
      <c r="C1415" s="6" t="n">
        <v>81.3</v>
      </c>
      <c r="D1415" s="16" t="s">
        <v>679</v>
      </c>
      <c r="E1415" s="16"/>
      <c r="F1415" s="16"/>
      <c r="G1415" s="6" t="s">
        <f>=A1415-A1414</f>
      </c>
      <c r="H1415" s="6" t="s">
        <f>=B1415+H1414</f>
      </c>
      <c r="I1415" s="6" t="s">
        <f>=G1415*H1414</f>
      </c>
    </row>
    <row collapsed="false" customFormat="false" customHeight="false" hidden="false" ht="12.1" outlineLevel="0" r="1416">
      <c r="A1416" s="13" t="n">
        <v>46049</v>
      </c>
      <c r="B1416" s="6" t="n">
        <v>-28.22</v>
      </c>
      <c r="C1416" s="6" t="n">
        <v>-28.22</v>
      </c>
      <c r="D1416" s="16" t="s">
        <v>387</v>
      </c>
      <c r="E1416" s="16"/>
      <c r="F1416" s="16"/>
      <c r="G1416" s="6" t="s">
        <f>=A1416-A1415</f>
      </c>
      <c r="H1416" s="6" t="s">
        <f>=B1416+H1415</f>
      </c>
      <c r="I1416" s="6" t="s">
        <f>=G1416*H1415</f>
      </c>
    </row>
    <row collapsed="false" customFormat="false" customHeight="false" hidden="false" ht="12.1" outlineLevel="0" r="1417">
      <c r="A1417" s="13" t="n">
        <v>46049</v>
      </c>
      <c r="B1417" s="6" t="n">
        <v>-58.34</v>
      </c>
      <c r="C1417" s="6" t="n">
        <v>-58.34</v>
      </c>
      <c r="D1417" s="16" t="s">
        <v>635</v>
      </c>
      <c r="E1417" s="16"/>
      <c r="F1417" s="16"/>
      <c r="G1417" s="6" t="s">
        <f>=A1417-A1416</f>
      </c>
      <c r="H1417" s="6" t="s">
        <f>=B1417+H1416</f>
      </c>
      <c r="I1417" s="6" t="s">
        <f>=G1417*H1416</f>
      </c>
    </row>
    <row collapsed="false" customFormat="false" customHeight="false" hidden="false" ht="12.1" outlineLevel="0" r="1418">
      <c r="A1418" s="13" t="n">
        <v>46049.474826389</v>
      </c>
      <c r="B1418" s="6" t="n">
        <v>19.48</v>
      </c>
      <c r="C1418" s="6" t="n">
        <v>19.48</v>
      </c>
      <c r="D1418" s="16" t="s">
        <v>764</v>
      </c>
      <c r="E1418" s="16"/>
      <c r="F1418" s="16"/>
      <c r="G1418" s="6" t="s">
        <f>=A1418-A1417</f>
      </c>
      <c r="H1418" s="6" t="s">
        <f>=B1418+H1417</f>
      </c>
      <c r="I1418" s="6" t="s">
        <f>=G1418*H1417</f>
      </c>
    </row>
    <row collapsed="false" customFormat="false" customHeight="false" hidden="false" ht="12.1" outlineLevel="0" r="1419">
      <c r="A1419" s="13" t="n">
        <v>46050</v>
      </c>
      <c r="B1419" s="6" t="n">
        <v>-40.15</v>
      </c>
      <c r="C1419" s="6" t="n">
        <v>-40.15</v>
      </c>
      <c r="D1419" s="16" t="s">
        <v>887</v>
      </c>
      <c r="E1419" s="16"/>
      <c r="F1419" s="16"/>
      <c r="G1419" s="6" t="s">
        <f>=A1419-A1418</f>
      </c>
      <c r="H1419" s="6" t="s">
        <f>=B1419+H1418</f>
      </c>
      <c r="I1419" s="6" t="s">
        <f>=G1419*H1418</f>
      </c>
    </row>
    <row collapsed="false" customFormat="false" customHeight="false" hidden="false" ht="12.1" outlineLevel="0" r="1420">
      <c r="A1420" s="13" t="n">
        <v>46050</v>
      </c>
      <c r="B1420" s="6" t="n">
        <v>-206.46</v>
      </c>
      <c r="C1420" s="6" t="n">
        <v>-206.46</v>
      </c>
      <c r="D1420" s="16" t="s">
        <v>888</v>
      </c>
      <c r="E1420" s="16"/>
      <c r="F1420" s="16"/>
      <c r="G1420" s="6" t="s">
        <f>=A1420-A1419</f>
      </c>
      <c r="H1420" s="6" t="s">
        <f>=B1420+H1419</f>
      </c>
      <c r="I1420" s="6" t="s">
        <f>=G1420*H1419</f>
      </c>
    </row>
    <row collapsed="false" customFormat="false" customHeight="false" hidden="false" ht="12.1" outlineLevel="0" r="1421">
      <c r="A1421" s="13" t="n">
        <v>46050</v>
      </c>
      <c r="B1421" s="6" t="n">
        <v>-1034.28</v>
      </c>
      <c r="C1421" s="6" t="n">
        <v>-1034.28</v>
      </c>
      <c r="D1421" s="16" t="s">
        <v>889</v>
      </c>
      <c r="E1421" s="16"/>
      <c r="F1421" s="16"/>
      <c r="G1421" s="6" t="s">
        <f>=A1421-A1420</f>
      </c>
      <c r="H1421" s="6" t="s">
        <f>=B1421+H1420</f>
      </c>
      <c r="I1421" s="6" t="s">
        <f>=G1421*H1420</f>
      </c>
    </row>
    <row collapsed="false" customFormat="false" customHeight="false" hidden="false" ht="12.1" outlineLevel="0" r="1422">
      <c r="A1422" s="13" t="n">
        <v>46050.48</v>
      </c>
      <c r="B1422" s="6" t="n">
        <v>28.22</v>
      </c>
      <c r="C1422" s="6" t="n">
        <v>28.22</v>
      </c>
      <c r="D1422" s="16" t="s">
        <v>390</v>
      </c>
      <c r="E1422" s="16"/>
      <c r="F1422" s="16"/>
      <c r="G1422" s="6" t="s">
        <f>=A1422-A1421</f>
      </c>
      <c r="H1422" s="6" t="s">
        <f>=B1422+H1421</f>
      </c>
      <c r="I1422" s="6" t="s">
        <f>=G1422*H1421</f>
      </c>
    </row>
    <row collapsed="false" customFormat="false" customHeight="false" hidden="false" ht="12.1" outlineLevel="0" r="1423">
      <c r="A1423" s="13" t="n">
        <v>46050.592372685</v>
      </c>
      <c r="B1423" s="6" t="n">
        <v>250</v>
      </c>
      <c r="C1423" s="6" t="n">
        <v>250</v>
      </c>
      <c r="D1423" s="16" t="s">
        <v>890</v>
      </c>
      <c r="E1423" s="16"/>
      <c r="F1423" s="16"/>
      <c r="G1423" s="6" t="s">
        <f>=A1423-A1422</f>
      </c>
      <c r="H1423" s="6" t="s">
        <f>=B1423+H1422</f>
      </c>
      <c r="I1423" s="6" t="s">
        <f>=G1423*H1422</f>
      </c>
    </row>
    <row collapsed="false" customFormat="false" customHeight="false" hidden="false" ht="12.1" outlineLevel="0" r="1424">
      <c r="A1424" s="13" t="n">
        <v>46050.592685185</v>
      </c>
      <c r="B1424" s="6" t="n">
        <v>58.34</v>
      </c>
      <c r="C1424" s="6" t="n">
        <v>58.34</v>
      </c>
      <c r="D1424" s="16" t="s">
        <v>595</v>
      </c>
      <c r="E1424" s="16"/>
      <c r="F1424" s="16"/>
      <c r="G1424" s="6" t="s">
        <f>=A1424-A1423</f>
      </c>
      <c r="H1424" s="6" t="s">
        <f>=B1424+H1423</f>
      </c>
      <c r="I1424" s="6" t="s">
        <f>=G1424*H1423</f>
      </c>
    </row>
    <row collapsed="false" customFormat="false" customHeight="false" hidden="false" ht="12.1" outlineLevel="0" r="1425">
      <c r="A1425" s="13" t="n">
        <v>46051.469988426</v>
      </c>
      <c r="B1425" s="6" t="n">
        <v>40.15</v>
      </c>
      <c r="C1425" s="6" t="n">
        <v>40.15</v>
      </c>
      <c r="D1425" s="16" t="s">
        <v>475</v>
      </c>
      <c r="E1425" s="16"/>
      <c r="F1425" s="16"/>
      <c r="G1425" s="6" t="s">
        <f>=A1425-A1424</f>
      </c>
      <c r="H1425" s="6" t="s">
        <f>=B1425+H1424</f>
      </c>
      <c r="I1425" s="6" t="s">
        <f>=G1425*H1424</f>
      </c>
    </row>
    <row collapsed="false" customFormat="false" customHeight="false" hidden="false" ht="12.1" outlineLevel="0" r="1426">
      <c r="A1426" s="13" t="n">
        <v>46051.476064815</v>
      </c>
      <c r="B1426" s="6" t="n">
        <v>1034.28</v>
      </c>
      <c r="C1426" s="6" t="n">
        <v>1034.28</v>
      </c>
      <c r="D1426" s="16" t="s">
        <v>360</v>
      </c>
      <c r="E1426" s="16"/>
      <c r="F1426" s="16"/>
      <c r="G1426" s="6" t="s">
        <f>=A1426-A1425</f>
      </c>
      <c r="H1426" s="6" t="s">
        <f>=B1426+H1425</f>
      </c>
      <c r="I1426" s="6" t="s">
        <f>=G1426*H1425</f>
      </c>
    </row>
    <row collapsed="false" customFormat="false" customHeight="false" hidden="false" ht="12.1" outlineLevel="0" r="1427">
      <c r="A1427" s="13" t="n">
        <v>46051.479826389</v>
      </c>
      <c r="B1427" s="6" t="n">
        <v>206.46</v>
      </c>
      <c r="C1427" s="6" t="n">
        <v>206.46</v>
      </c>
      <c r="D1427" s="16" t="s">
        <v>596</v>
      </c>
      <c r="E1427" s="16"/>
      <c r="F1427" s="16"/>
      <c r="G1427" s="6" t="s">
        <f>=A1427-A1426</f>
      </c>
      <c r="H1427" s="6" t="s">
        <f>=B1427+H1426</f>
      </c>
      <c r="I1427" s="6" t="s">
        <f>=G1427*H1426</f>
      </c>
    </row>
    <row collapsed="false" customFormat="false" customHeight="false" hidden="false" ht="12.1" outlineLevel="0" r="1428">
      <c r="A1428" s="13" t="n">
        <v>46052</v>
      </c>
      <c r="B1428" s="6" t="n">
        <v>-23.86</v>
      </c>
      <c r="C1428" s="6" t="n">
        <v>-23.86</v>
      </c>
      <c r="D1428" s="16" t="s">
        <v>637</v>
      </c>
      <c r="E1428" s="16"/>
      <c r="F1428" s="16"/>
      <c r="G1428" s="6" t="s">
        <f>=A1428-A1427</f>
      </c>
      <c r="H1428" s="6" t="s">
        <f>=B1428+H1427</f>
      </c>
      <c r="I1428" s="6" t="s">
        <f>=G1428*H1427</f>
      </c>
    </row>
    <row collapsed="false" customFormat="false" customHeight="false" hidden="false" ht="12.1" outlineLevel="0" r="1429">
      <c r="A1429" s="13" t="n">
        <v>46052</v>
      </c>
      <c r="B1429" s="6" t="n">
        <v>-239.36</v>
      </c>
      <c r="C1429" s="6" t="n">
        <v>-239.36</v>
      </c>
      <c r="D1429" s="16" t="s">
        <v>813</v>
      </c>
      <c r="E1429" s="16"/>
      <c r="F1429" s="16"/>
      <c r="G1429" s="6" t="s">
        <f>=A1429-A1428</f>
      </c>
      <c r="H1429" s="6" t="s">
        <f>=B1429+H1428</f>
      </c>
      <c r="I1429" s="6" t="s">
        <f>=G1429*H1428</f>
      </c>
    </row>
    <row collapsed="false" customFormat="false" customHeight="false" hidden="false" ht="12.1" outlineLevel="0" r="1430">
      <c r="A1430" s="13" t="n">
        <v>46053</v>
      </c>
      <c r="B1430" s="6" t="n">
        <v>-53.1</v>
      </c>
      <c r="C1430" s="6" t="n">
        <v>-53.1</v>
      </c>
      <c r="D1430" s="16" t="s">
        <v>448</v>
      </c>
      <c r="E1430" s="16"/>
      <c r="F1430" s="16"/>
      <c r="G1430" s="6" t="s">
        <f>=A1430-A1429</f>
      </c>
      <c r="H1430" s="6" t="s">
        <f>=B1430+H1429</f>
      </c>
      <c r="I1430" s="6" t="s">
        <f>=G1430*H1429</f>
      </c>
    </row>
    <row collapsed="false" customFormat="false" customHeight="false" hidden="false" ht="12.1" outlineLevel="0" r="1431">
      <c r="A1431" s="13" t="n">
        <v>46054</v>
      </c>
      <c r="B1431" s="6" t="n">
        <v>-14.78</v>
      </c>
      <c r="C1431" s="6" t="n">
        <v>-14.78</v>
      </c>
      <c r="D1431" s="16" t="s">
        <v>891</v>
      </c>
      <c r="E1431" s="16"/>
      <c r="F1431" s="16"/>
      <c r="G1431" s="6" t="s">
        <f>=A1431-A1430</f>
      </c>
      <c r="H1431" s="6" t="s">
        <f>=B1431+H1430</f>
      </c>
      <c r="I1431" s="6" t="s">
        <f>=G1431*H1430</f>
      </c>
    </row>
    <row collapsed="false" customFormat="false" customHeight="false" hidden="false" ht="12.1" outlineLevel="0" r="1432">
      <c r="A1432" s="13" t="n">
        <v>46054</v>
      </c>
      <c r="B1432" s="6" t="n">
        <v>-3.28</v>
      </c>
      <c r="C1432" s="6" t="n">
        <v>-3.28</v>
      </c>
      <c r="D1432" s="16" t="s">
        <v>784</v>
      </c>
      <c r="E1432" s="16"/>
      <c r="F1432" s="16"/>
      <c r="G1432" s="6" t="s">
        <f>=A1432-A1431</f>
      </c>
      <c r="H1432" s="6" t="s">
        <f>=B1432+H1431</f>
      </c>
      <c r="I1432" s="6" t="s">
        <f>=G1432*H1431</f>
      </c>
    </row>
    <row collapsed="false" customFormat="false" customHeight="false" hidden="false" ht="12.1" outlineLevel="0" r="1433">
      <c r="A1433" s="13" t="n">
        <v>46054.561909722</v>
      </c>
      <c r="B1433" s="6" t="n">
        <v>5000</v>
      </c>
      <c r="C1433" s="6" t="n">
        <v>5000</v>
      </c>
      <c r="D1433" s="16" t="s">
        <v>350</v>
      </c>
      <c r="E1433" s="16"/>
      <c r="F1433" s="16"/>
      <c r="G1433" s="6" t="s">
        <f>=A1433-A1432</f>
      </c>
      <c r="H1433" s="6" t="s">
        <f>=B1433+H1432</f>
      </c>
      <c r="I1433" s="6" t="s">
        <f>=G1433*H1432</f>
      </c>
    </row>
    <row collapsed="false" customFormat="false" customHeight="false" hidden="false" ht="12.1" outlineLevel="0" r="1434">
      <c r="A1434" s="13" t="n">
        <v>46054.562094907</v>
      </c>
      <c r="B1434" s="6" t="n">
        <v>7285</v>
      </c>
      <c r="C1434" s="6" t="n">
        <v>7285</v>
      </c>
      <c r="D1434" s="16" t="s">
        <v>350</v>
      </c>
      <c r="E1434" s="16"/>
      <c r="F1434" s="16"/>
      <c r="G1434" s="6" t="s">
        <f>=A1434-A1433</f>
      </c>
      <c r="H1434" s="6" t="s">
        <f>=B1434+H1433</f>
      </c>
      <c r="I1434" s="6" t="s">
        <f>=G1434*H1433</f>
      </c>
    </row>
    <row collapsed="false" customFormat="false" customHeight="false" hidden="false" ht="12.1" outlineLevel="0" r="1435">
      <c r="A1435" s="13" t="n">
        <v>46055</v>
      </c>
      <c r="B1435" s="6" t="n">
        <v>-19.11</v>
      </c>
      <c r="C1435" s="6" t="n">
        <v>-19.11</v>
      </c>
      <c r="D1435" s="16" t="s">
        <v>743</v>
      </c>
      <c r="E1435" s="16"/>
      <c r="F1435" s="16"/>
      <c r="G1435" s="6" t="s">
        <f>=A1435-A1434</f>
      </c>
      <c r="H1435" s="6" t="s">
        <f>=B1435+H1434</f>
      </c>
      <c r="I1435" s="6" t="s">
        <f>=G1435*H1434</f>
      </c>
    </row>
    <row collapsed="false" customFormat="false" customHeight="false" hidden="false" ht="12.1" outlineLevel="0" r="1436">
      <c r="A1436" s="13" t="n">
        <v>46055.457916667</v>
      </c>
      <c r="B1436" s="6" t="n">
        <v>23.86</v>
      </c>
      <c r="C1436" s="6" t="n">
        <v>23.86</v>
      </c>
      <c r="D1436" s="16" t="s">
        <v>638</v>
      </c>
      <c r="E1436" s="16"/>
      <c r="F1436" s="16"/>
      <c r="G1436" s="6" t="s">
        <f>=A1436-A1435</f>
      </c>
      <c r="H1436" s="6" t="s">
        <f>=B1436+H1435</f>
      </c>
      <c r="I1436" s="6" t="s">
        <f>=G1436*H1435</f>
      </c>
    </row>
    <row collapsed="false" customFormat="false" customHeight="false" hidden="false" ht="12.1" outlineLevel="0" r="1437">
      <c r="A1437" s="13" t="n">
        <v>46055.537407407</v>
      </c>
      <c r="B1437" s="6" t="n">
        <v>239.36</v>
      </c>
      <c r="C1437" s="6" t="n">
        <v>239.36</v>
      </c>
      <c r="D1437" s="16" t="s">
        <v>688</v>
      </c>
      <c r="E1437" s="16"/>
      <c r="F1437" s="16"/>
      <c r="G1437" s="6" t="s">
        <f>=A1437-A1436</f>
      </c>
      <c r="H1437" s="6" t="s">
        <f>=B1437+H1436</f>
      </c>
      <c r="I1437" s="6" t="s">
        <f>=G1437*H1436</f>
      </c>
    </row>
    <row collapsed="false" customFormat="false" customHeight="false" hidden="false" ht="12.1" outlineLevel="0" r="1438">
      <c r="A1438" s="13" t="n">
        <v>46056.463391204</v>
      </c>
      <c r="B1438" s="6" t="n">
        <v>53.1</v>
      </c>
      <c r="C1438" s="6" t="n">
        <v>53.1</v>
      </c>
      <c r="D1438" s="16" t="s">
        <v>393</v>
      </c>
      <c r="E1438" s="16"/>
      <c r="F1438" s="16"/>
      <c r="G1438" s="6" t="s">
        <f>=A1438-A1437</f>
      </c>
      <c r="H1438" s="6" t="s">
        <f>=B1438+H1437</f>
      </c>
      <c r="I1438" s="6" t="s">
        <f>=G1438*H1437</f>
      </c>
    </row>
    <row collapsed="false" customFormat="false" customHeight="false" hidden="false" ht="12.1" outlineLevel="0" r="1439">
      <c r="A1439" s="13" t="n">
        <v>46056.470185185</v>
      </c>
      <c r="B1439" s="6" t="n">
        <v>19.11</v>
      </c>
      <c r="C1439" s="6" t="n">
        <v>19.11</v>
      </c>
      <c r="D1439" s="16" t="s">
        <v>748</v>
      </c>
      <c r="E1439" s="16"/>
      <c r="F1439" s="16"/>
      <c r="G1439" s="6" t="s">
        <f>=A1439-A1438</f>
      </c>
      <c r="H1439" s="6" t="s">
        <f>=B1439+H1438</f>
      </c>
      <c r="I1439" s="6" t="s">
        <f>=G1439*H1438</f>
      </c>
    </row>
    <row collapsed="false" customFormat="false" customHeight="false" hidden="false" ht="12.1" outlineLevel="0" r="1440">
      <c r="A1440" s="13" t="n">
        <v>46056.493287037</v>
      </c>
      <c r="B1440" s="6" t="n">
        <v>14.78</v>
      </c>
      <c r="C1440" s="6" t="n">
        <v>14.78</v>
      </c>
      <c r="D1440" s="16" t="s">
        <v>520</v>
      </c>
      <c r="E1440" s="16"/>
      <c r="F1440" s="16"/>
      <c r="G1440" s="6" t="s">
        <f>=A1440-A1439</f>
      </c>
      <c r="H1440" s="6" t="s">
        <f>=B1440+H1439</f>
      </c>
      <c r="I1440" s="6" t="s">
        <f>=G1440*H1439</f>
      </c>
    </row>
    <row collapsed="false" customFormat="false" customHeight="false" hidden="false" ht="12.1" outlineLevel="0" r="1441">
      <c r="A1441" s="13" t="n">
        <v>46056.49712963</v>
      </c>
      <c r="B1441" s="6" t="n">
        <v>3.28</v>
      </c>
      <c r="C1441" s="6" t="n">
        <v>3.28</v>
      </c>
      <c r="D1441" s="16" t="s">
        <v>787</v>
      </c>
      <c r="E1441" s="16"/>
      <c r="F1441" s="16"/>
      <c r="G1441" s="6" t="s">
        <f>=A1441-A1440</f>
      </c>
      <c r="H1441" s="6" t="s">
        <f>=B1441+H1440</f>
      </c>
      <c r="I1441" s="6" t="s">
        <f>=G1441*H1440</f>
      </c>
    </row>
    <row collapsed="false" customFormat="false" customHeight="false" hidden="false" ht="12.1" outlineLevel="0" r="1442">
      <c r="A1442" s="13" t="n">
        <v>46057</v>
      </c>
      <c r="B1442" s="6" t="n">
        <v>-29.82</v>
      </c>
      <c r="C1442" s="6" t="n">
        <v>-29.82</v>
      </c>
      <c r="D1442" s="16" t="s">
        <v>892</v>
      </c>
      <c r="E1442" s="16"/>
      <c r="F1442" s="16"/>
      <c r="G1442" s="6" t="s">
        <f>=A1442-A1441</f>
      </c>
      <c r="H1442" s="6" t="s">
        <f>=B1442+H1441</f>
      </c>
      <c r="I1442" s="6" t="s">
        <f>=G1442*H1441</f>
      </c>
    </row>
    <row collapsed="false" customFormat="false" customHeight="false" hidden="false" ht="12.1" outlineLevel="0" r="1443">
      <c r="A1443" s="13" t="n">
        <v>46057</v>
      </c>
      <c r="B1443" s="6" t="n">
        <v>-42.12</v>
      </c>
      <c r="C1443" s="6" t="n">
        <v>-42.12</v>
      </c>
      <c r="D1443" s="16" t="s">
        <v>893</v>
      </c>
      <c r="E1443" s="16"/>
      <c r="F1443" s="16"/>
      <c r="G1443" s="6" t="s">
        <f>=A1443-A1442</f>
      </c>
      <c r="H1443" s="6" t="s">
        <f>=B1443+H1442</f>
      </c>
      <c r="I1443" s="6" t="s">
        <f>=G1443*H1442</f>
      </c>
    </row>
    <row collapsed="false" customFormat="false" customHeight="false" hidden="false" ht="12.1" outlineLevel="0" r="1444">
      <c r="A1444" s="13" t="n">
        <v>46058.465497685</v>
      </c>
      <c r="B1444" s="6" t="n">
        <v>42.12</v>
      </c>
      <c r="C1444" s="6" t="n">
        <v>42.12</v>
      </c>
      <c r="D1444" s="16" t="s">
        <v>598</v>
      </c>
      <c r="E1444" s="16"/>
      <c r="F1444" s="16"/>
      <c r="G1444" s="6" t="s">
        <f>=A1444-A1443</f>
      </c>
      <c r="H1444" s="6" t="s">
        <f>=B1444+H1443</f>
      </c>
      <c r="I1444" s="6" t="s">
        <f>=G1444*H1443</f>
      </c>
    </row>
    <row collapsed="false" customFormat="false" customHeight="false" hidden="false" ht="12.1" outlineLevel="0" r="1445">
      <c r="A1445" s="13" t="n">
        <v>46058.466458333</v>
      </c>
      <c r="B1445" s="6" t="n">
        <v>29.82</v>
      </c>
      <c r="C1445" s="6" t="n">
        <v>29.82</v>
      </c>
      <c r="D1445" s="16" t="s">
        <v>454</v>
      </c>
      <c r="E1445" s="16"/>
      <c r="F1445" s="16"/>
      <c r="G1445" s="6" t="s">
        <f>=A1445-A1444</f>
      </c>
      <c r="H1445" s="6" t="s">
        <f>=B1445+H1444</f>
      </c>
      <c r="I1445" s="6" t="s">
        <f>=G1445*H1444</f>
      </c>
    </row>
    <row collapsed="false" customFormat="false" customHeight="false" hidden="false" ht="12.1" outlineLevel="0" r="1446">
      <c r="A1446" s="13" t="n">
        <v>46063</v>
      </c>
      <c r="B1446" s="6" t="n">
        <v>-11.38</v>
      </c>
      <c r="C1446" s="6" t="n">
        <v>-11.38</v>
      </c>
      <c r="D1446" s="16" t="s">
        <v>894</v>
      </c>
      <c r="E1446" s="16"/>
      <c r="F1446" s="16"/>
      <c r="G1446" s="6" t="s">
        <f>=A1446-A1445</f>
      </c>
      <c r="H1446" s="6" t="s">
        <f>=B1446+H1445</f>
      </c>
      <c r="I1446" s="6" t="s">
        <f>=G1446*H1445</f>
      </c>
    </row>
    <row collapsed="false" customFormat="false" customHeight="false" hidden="false" ht="12.1" outlineLevel="0" r="1447">
      <c r="A1447" s="13" t="n">
        <v>46063</v>
      </c>
      <c r="B1447" s="6" t="n">
        <v>-14.68</v>
      </c>
      <c r="C1447" s="6" t="n">
        <v>-14.68</v>
      </c>
      <c r="D1447" s="16" t="s">
        <v>895</v>
      </c>
      <c r="E1447" s="16"/>
      <c r="F1447" s="16"/>
      <c r="G1447" s="6" t="s">
        <f>=A1447-A1446</f>
      </c>
      <c r="H1447" s="6" t="s">
        <f>=B1447+H1446</f>
      </c>
      <c r="I1447" s="6" t="s">
        <f>=G1447*H1446</f>
      </c>
    </row>
    <row collapsed="false" customFormat="false" customHeight="false" hidden="false" ht="12.1" outlineLevel="0" r="1448">
      <c r="A1448" s="13" t="n">
        <v>46064</v>
      </c>
      <c r="B1448" s="6" t="n">
        <v>-663.1</v>
      </c>
      <c r="C1448" s="6" t="n">
        <v>-663.1</v>
      </c>
      <c r="D1448" s="16" t="s">
        <v>818</v>
      </c>
      <c r="E1448" s="16"/>
      <c r="F1448" s="16"/>
      <c r="G1448" s="6" t="s">
        <f>=A1448-A1447</f>
      </c>
      <c r="H1448" s="6" t="s">
        <f>=B1448+H1447</f>
      </c>
      <c r="I1448" s="6" t="s">
        <f>=G1448*H1447</f>
      </c>
    </row>
    <row collapsed="false" customFormat="false" customHeight="false" hidden="false" ht="12.1" outlineLevel="0" r="1449">
      <c r="A1449" s="13" t="n">
        <v>46064</v>
      </c>
      <c r="B1449" s="6" t="n">
        <v>11.38</v>
      </c>
      <c r="C1449" s="6" t="n">
        <v>11.38</v>
      </c>
      <c r="D1449" s="16" t="s">
        <v>896</v>
      </c>
      <c r="E1449" s="16"/>
      <c r="F1449" s="16"/>
      <c r="G1449" s="6" t="s">
        <f>=A1449-A1448</f>
      </c>
      <c r="H1449" s="6" t="s">
        <f>=B1449+H1448</f>
      </c>
      <c r="I1449" s="6" t="s">
        <f>=G1449*H1448</f>
      </c>
    </row>
    <row collapsed="false" customFormat="false" customHeight="false" hidden="false" ht="12.1" outlineLevel="0" r="1450">
      <c r="A1450" s="13" t="n">
        <v>46064</v>
      </c>
      <c r="B1450" s="6" t="n">
        <v>14.68</v>
      </c>
      <c r="C1450" s="6" t="n">
        <v>14.68</v>
      </c>
      <c r="D1450" s="16" t="s">
        <v>745</v>
      </c>
      <c r="E1450" s="16"/>
      <c r="F1450" s="16"/>
      <c r="G1450" s="6" t="s">
        <f>=A1450-A1449</f>
      </c>
      <c r="H1450" s="6" t="s">
        <f>=B1450+H1449</f>
      </c>
      <c r="I1450" s="6" t="s">
        <f>=G1450*H1449</f>
      </c>
    </row>
    <row collapsed="false" customFormat="false" customHeight="false" hidden="false" ht="12.1" outlineLevel="0" r="1451">
      <c r="A1451" s="13" t="n">
        <v>46065</v>
      </c>
      <c r="B1451" s="6" t="n">
        <v>-1000</v>
      </c>
      <c r="C1451" s="6" t="n">
        <v>-1000</v>
      </c>
      <c r="D1451" s="16" t="s">
        <v>897</v>
      </c>
      <c r="E1451" s="16"/>
      <c r="F1451" s="16"/>
      <c r="G1451" s="6" t="s">
        <f>=A1451-A1450</f>
      </c>
      <c r="H1451" s="6" t="s">
        <f>=B1451+H1450</f>
      </c>
      <c r="I1451" s="6" t="s">
        <f>=G1451*H1450</f>
      </c>
    </row>
    <row collapsed="false" customFormat="false" customHeight="false" hidden="false" ht="12.1" outlineLevel="0" r="1452">
      <c r="A1452" s="13" t="n">
        <v>46065.480381944</v>
      </c>
      <c r="B1452" s="6" t="n">
        <v>663.1</v>
      </c>
      <c r="C1452" s="6" t="n">
        <v>663.1</v>
      </c>
      <c r="D1452" s="16" t="s">
        <v>395</v>
      </c>
      <c r="E1452" s="16"/>
      <c r="F1452" s="16"/>
      <c r="G1452" s="6" t="s">
        <f>=A1452-A1451</f>
      </c>
      <c r="H1452" s="6" t="s">
        <f>=B1452+H1451</f>
      </c>
      <c r="I1452" s="6" t="s">
        <f>=G1452*H1451</f>
      </c>
    </row>
    <row collapsed="false" customFormat="false" customHeight="false" hidden="false" ht="12.1" outlineLevel="0" r="1453">
      <c r="A1453" s="13" t="n">
        <v>46066</v>
      </c>
      <c r="B1453" s="6" t="n">
        <v>-51.61</v>
      </c>
      <c r="C1453" s="6" t="n">
        <v>-51.61</v>
      </c>
      <c r="D1453" s="16" t="s">
        <v>450</v>
      </c>
      <c r="E1453" s="16"/>
      <c r="F1453" s="16"/>
      <c r="G1453" s="6" t="s">
        <f>=A1453-A1452</f>
      </c>
      <c r="H1453" s="6" t="s">
        <f>=B1453+H1452</f>
      </c>
      <c r="I1453" s="6" t="s">
        <f>=G1453*H1452</f>
      </c>
    </row>
    <row collapsed="false" customFormat="false" customHeight="false" hidden="false" ht="12.1" outlineLevel="0" r="1454">
      <c r="A1454" s="13" t="n">
        <v>46066</v>
      </c>
      <c r="B1454" s="6" t="n">
        <v>-207.44</v>
      </c>
      <c r="C1454" s="6" t="n">
        <v>-207.44</v>
      </c>
      <c r="D1454" s="16" t="s">
        <v>820</v>
      </c>
      <c r="E1454" s="16"/>
      <c r="F1454" s="16"/>
      <c r="G1454" s="6" t="s">
        <f>=A1454-A1453</f>
      </c>
      <c r="H1454" s="6" t="s">
        <f>=B1454+H1453</f>
      </c>
      <c r="I1454" s="6" t="s">
        <f>=G1454*H1453</f>
      </c>
    </row>
    <row collapsed="false" customFormat="false" customHeight="false" hidden="false" ht="12.1" outlineLevel="0" r="1455">
      <c r="A1455" s="13" t="n">
        <v>46066.710162037</v>
      </c>
      <c r="B1455" s="6" t="n">
        <v>1000</v>
      </c>
      <c r="C1455" s="6" t="n">
        <v>1000</v>
      </c>
      <c r="D1455" s="16" t="s">
        <v>898</v>
      </c>
      <c r="E1455" s="16"/>
      <c r="F1455" s="16"/>
      <c r="G1455" s="6" t="s">
        <f>=A1455-A1454</f>
      </c>
      <c r="H1455" s="6" t="s">
        <f>=B1455+H1454</f>
      </c>
      <c r="I1455" s="6" t="s">
        <f>=G1455*H1454</f>
      </c>
    </row>
    <row collapsed="false" customFormat="false" customHeight="false" hidden="false" ht="12.1" outlineLevel="0" r="1456">
      <c r="A1456" s="13" t="n">
        <v>46066.710706019</v>
      </c>
      <c r="B1456" s="6" t="n">
        <v>51.61</v>
      </c>
      <c r="C1456" s="6" t="n">
        <v>51.61</v>
      </c>
      <c r="D1456" s="16" t="s">
        <v>453</v>
      </c>
      <c r="E1456" s="16"/>
      <c r="F1456" s="16"/>
      <c r="G1456" s="6" t="s">
        <f>=A1456-A1455</f>
      </c>
      <c r="H1456" s="6" t="s">
        <f>=B1456+H1455</f>
      </c>
      <c r="I1456" s="6" t="s">
        <f>=G1456*H1455</f>
      </c>
    </row>
    <row collapsed="false" customFormat="false" customHeight="false" hidden="false" ht="12.1" outlineLevel="0" r="1457">
      <c r="A1457" s="13" t="n">
        <v>46069</v>
      </c>
      <c r="B1457" s="6" t="n">
        <v>-20.96</v>
      </c>
      <c r="C1457" s="6" t="n">
        <v>-20.96</v>
      </c>
      <c r="D1457" s="16" t="s">
        <v>757</v>
      </c>
      <c r="E1457" s="16"/>
      <c r="F1457" s="16"/>
      <c r="G1457" s="6" t="s">
        <f>=A1457-A1456</f>
      </c>
      <c r="H1457" s="6" t="s">
        <f>=B1457+H1456</f>
      </c>
      <c r="I1457" s="6" t="s">
        <f>=G1457*H1456</f>
      </c>
    </row>
    <row collapsed="false" customFormat="false" customHeight="false" hidden="false" ht="12.1" outlineLevel="0" r="1458">
      <c r="A1458" s="13" t="n">
        <v>46069.562534722</v>
      </c>
      <c r="B1458" s="6" t="n">
        <v>207.44</v>
      </c>
      <c r="C1458" s="6" t="n">
        <v>207.44</v>
      </c>
      <c r="D1458" s="16" t="s">
        <v>692</v>
      </c>
      <c r="E1458" s="16"/>
      <c r="F1458" s="16"/>
      <c r="G1458" s="6" t="s">
        <f>=A1458-A1457</f>
      </c>
      <c r="H1458" s="6" t="s">
        <f>=B1458+H1457</f>
      </c>
      <c r="I1458" s="6" t="s">
        <f>=G1458*H1457</f>
      </c>
    </row>
    <row collapsed="false" customFormat="false" customHeight="false" hidden="false" ht="12.1" outlineLevel="0" r="1459">
      <c r="A1459" s="13" t="n">
        <v>46070</v>
      </c>
      <c r="B1459" s="6" t="n">
        <v>-11.18</v>
      </c>
      <c r="C1459" s="6" t="n">
        <v>-11.18</v>
      </c>
      <c r="D1459" s="16" t="s">
        <v>613</v>
      </c>
      <c r="E1459" s="16"/>
      <c r="F1459" s="16"/>
      <c r="G1459" s="6" t="s">
        <f>=A1459-A1458</f>
      </c>
      <c r="H1459" s="6" t="s">
        <f>=B1459+H1458</f>
      </c>
      <c r="I1459" s="6" t="s">
        <f>=G1459*H1458</f>
      </c>
    </row>
    <row collapsed="false" customFormat="false" customHeight="false" hidden="false" ht="12.1" outlineLevel="0" r="1460">
      <c r="A1460" s="13" t="n">
        <v>46070.556168981</v>
      </c>
      <c r="B1460" s="6" t="n">
        <v>20.96</v>
      </c>
      <c r="C1460" s="6" t="n">
        <v>20.96</v>
      </c>
      <c r="D1460" s="16" t="s">
        <v>759</v>
      </c>
      <c r="E1460" s="16"/>
      <c r="F1460" s="16"/>
      <c r="G1460" s="6" t="s">
        <f>=A1460-A1459</f>
      </c>
      <c r="H1460" s="6" t="s">
        <f>=B1460+H1459</f>
      </c>
      <c r="I1460" s="6" t="s">
        <f>=G1460*H1459</f>
      </c>
    </row>
    <row collapsed="false" customFormat="false" customHeight="false" hidden="false" ht="12.1" outlineLevel="0" r="1461">
      <c r="A1461" s="13" t="n">
        <v>46071</v>
      </c>
      <c r="B1461" s="6" t="n">
        <v>-125</v>
      </c>
      <c r="C1461" s="6" t="n">
        <v>-125</v>
      </c>
      <c r="D1461" s="16" t="s">
        <v>510</v>
      </c>
      <c r="E1461" s="16"/>
      <c r="F1461" s="16"/>
      <c r="G1461" s="6" t="s">
        <f>=A1461-A1460</f>
      </c>
      <c r="H1461" s="6" t="s">
        <f>=B1461+H1460</f>
      </c>
      <c r="I1461" s="6" t="s">
        <f>=G1461*H1460</f>
      </c>
    </row>
    <row collapsed="false" customFormat="false" customHeight="false" hidden="false" ht="12.1" outlineLevel="0" r="1462">
      <c r="A1462" s="13" t="n">
        <v>46072</v>
      </c>
      <c r="B1462" s="6" t="n">
        <v>-6.5</v>
      </c>
      <c r="C1462" s="6" t="n">
        <v>-6.5</v>
      </c>
      <c r="D1462" s="16" t="s">
        <v>756</v>
      </c>
      <c r="E1462" s="16"/>
      <c r="F1462" s="16"/>
      <c r="G1462" s="6" t="s">
        <f>=A1462-A1461</f>
      </c>
      <c r="H1462" s="6" t="s">
        <f>=B1462+H1461</f>
      </c>
      <c r="I1462" s="6" t="s">
        <f>=G1462*H1461</f>
      </c>
    </row>
    <row collapsed="false" customFormat="false" customHeight="false" hidden="false" ht="12.1" outlineLevel="0" r="1463">
      <c r="A1463" s="13" t="n">
        <v>46072</v>
      </c>
      <c r="B1463" s="6" t="n">
        <v>-79.74</v>
      </c>
      <c r="C1463" s="6" t="n">
        <v>-79.74</v>
      </c>
      <c r="D1463" s="16" t="s">
        <v>899</v>
      </c>
      <c r="E1463" s="16"/>
      <c r="F1463" s="16"/>
      <c r="G1463" s="6" t="s">
        <f>=A1463-A1462</f>
      </c>
      <c r="H1463" s="6" t="s">
        <f>=B1463+H1462</f>
      </c>
      <c r="I1463" s="6" t="s">
        <f>=G1463*H1462</f>
      </c>
    </row>
    <row collapsed="false" customFormat="false" customHeight="false" hidden="false" ht="12.1" outlineLevel="0" r="1464">
      <c r="A1464" s="13" t="n">
        <v>46072</v>
      </c>
      <c r="B1464" s="6" t="n">
        <v>-14.48</v>
      </c>
      <c r="C1464" s="6" t="n">
        <v>-14.48</v>
      </c>
      <c r="D1464" s="16" t="s">
        <v>900</v>
      </c>
      <c r="E1464" s="16"/>
      <c r="F1464" s="16"/>
      <c r="G1464" s="6" t="s">
        <f>=A1464-A1463</f>
      </c>
      <c r="H1464" s="6" t="s">
        <f>=B1464+H1463</f>
      </c>
      <c r="I1464" s="6" t="s">
        <f>=G1464*H1463</f>
      </c>
    </row>
    <row collapsed="false" customFormat="false" customHeight="false" hidden="false" ht="12.1" outlineLevel="0" r="1465">
      <c r="A1465" s="13" t="n">
        <v>46072</v>
      </c>
      <c r="B1465" s="6" t="n">
        <v>-28.1</v>
      </c>
      <c r="C1465" s="6" t="n">
        <v>-28.1</v>
      </c>
      <c r="D1465" s="16" t="s">
        <v>586</v>
      </c>
      <c r="E1465" s="16"/>
      <c r="F1465" s="16"/>
      <c r="G1465" s="6" t="s">
        <f>=A1465-A1464</f>
      </c>
      <c r="H1465" s="6" t="s">
        <f>=B1465+H1464</f>
      </c>
      <c r="I1465" s="6" t="s">
        <f>=G1465*H1464</f>
      </c>
    </row>
    <row collapsed="false" customFormat="false" customHeight="false" hidden="false" ht="12.1" outlineLevel="0" r="1466">
      <c r="A1466" s="13" t="n">
        <v>46072</v>
      </c>
      <c r="B1466" s="6" t="n">
        <v>11.18</v>
      </c>
      <c r="C1466" s="6" t="n">
        <v>11.18</v>
      </c>
      <c r="D1466" s="16" t="s">
        <v>616</v>
      </c>
      <c r="E1466" s="16"/>
      <c r="F1466" s="16"/>
      <c r="G1466" s="6" t="s">
        <f>=A1466-A1465</f>
      </c>
      <c r="H1466" s="6" t="s">
        <f>=B1466+H1465</f>
      </c>
      <c r="I1466" s="6" t="s">
        <f>=G1466*H1465</f>
      </c>
    </row>
    <row collapsed="false" customFormat="false" customHeight="false" hidden="false" ht="12.1" outlineLevel="0" r="1467">
      <c r="A1467" s="13" t="n">
        <v>46072.727233796</v>
      </c>
      <c r="B1467" s="6" t="n">
        <v>14.48</v>
      </c>
      <c r="C1467" s="6" t="n">
        <v>14.48</v>
      </c>
      <c r="D1467" s="16" t="s">
        <v>726</v>
      </c>
      <c r="E1467" s="16"/>
      <c r="F1467" s="16"/>
      <c r="G1467" s="6" t="s">
        <f>=A1467-A1466</f>
      </c>
      <c r="H1467" s="6" t="s">
        <f>=B1467+H1466</f>
      </c>
      <c r="I1467" s="6" t="s">
        <f>=G1467*H1466</f>
      </c>
    </row>
    <row collapsed="false" customFormat="false" customHeight="false" hidden="false" ht="12.1" outlineLevel="0" r="1468">
      <c r="A1468" s="13" t="n">
        <v>46073</v>
      </c>
      <c r="B1468" s="6" t="n">
        <v>-27.54</v>
      </c>
      <c r="C1468" s="6" t="n">
        <v>-27.54</v>
      </c>
      <c r="D1468" s="16" t="s">
        <v>901</v>
      </c>
      <c r="E1468" s="16"/>
      <c r="F1468" s="16"/>
      <c r="G1468" s="6" t="s">
        <f>=A1468-A1467</f>
      </c>
      <c r="H1468" s="6" t="s">
        <f>=B1468+H1467</f>
      </c>
      <c r="I1468" s="6" t="s">
        <f>=G1468*H1467</f>
      </c>
    </row>
    <row collapsed="false" customFormat="false" customHeight="false" hidden="false" ht="12.1" outlineLevel="0" r="1469">
      <c r="A1469" s="13" t="n">
        <v>46073</v>
      </c>
      <c r="B1469" s="6" t="n">
        <v>-134.64</v>
      </c>
      <c r="C1469" s="6" t="n">
        <v>-134.64</v>
      </c>
      <c r="D1469" s="16" t="s">
        <v>822</v>
      </c>
      <c r="E1469" s="16"/>
      <c r="F1469" s="16"/>
      <c r="G1469" s="6" t="s">
        <f>=A1469-A1468</f>
      </c>
      <c r="H1469" s="6" t="s">
        <f>=B1469+H1468</f>
      </c>
      <c r="I1469" s="6" t="s">
        <f>=G1469*H1468</f>
      </c>
    </row>
    <row collapsed="false" customFormat="false" customHeight="false" hidden="false" ht="12.1" outlineLevel="0" r="1470">
      <c r="A1470" s="13" t="n">
        <v>46073.424212963</v>
      </c>
      <c r="B1470" s="6" t="n">
        <v>28.1</v>
      </c>
      <c r="C1470" s="6" t="n">
        <v>28.1</v>
      </c>
      <c r="D1470" s="16" t="s">
        <v>590</v>
      </c>
      <c r="E1470" s="16"/>
      <c r="F1470" s="16"/>
      <c r="G1470" s="6" t="s">
        <f>=A1470-A1469</f>
      </c>
      <c r="H1470" s="6" t="s">
        <f>=B1470+H1469</f>
      </c>
      <c r="I1470" s="6" t="s">
        <f>=G1470*H1469</f>
      </c>
    </row>
    <row collapsed="false" customFormat="false" customHeight="false" hidden="false" ht="12.1" outlineLevel="0" r="1471">
      <c r="A1471" s="13" t="n">
        <v>46073.428715278</v>
      </c>
      <c r="B1471" s="6" t="n">
        <v>6.5</v>
      </c>
      <c r="C1471" s="6" t="n">
        <v>6.5</v>
      </c>
      <c r="D1471" s="16" t="s">
        <v>422</v>
      </c>
      <c r="E1471" s="16"/>
      <c r="F1471" s="16"/>
      <c r="G1471" s="6" t="s">
        <f>=A1471-A1470</f>
      </c>
      <c r="H1471" s="6" t="s">
        <f>=B1471+H1470</f>
      </c>
      <c r="I1471" s="6" t="s">
        <f>=G1471*H1470</f>
      </c>
    </row>
    <row collapsed="false" customFormat="false" customHeight="false" hidden="false" ht="12.1" outlineLevel="0" r="1472">
      <c r="A1472" s="13" t="n">
        <v>46073.429201389</v>
      </c>
      <c r="B1472" s="6" t="n">
        <v>125</v>
      </c>
      <c r="C1472" s="6" t="n">
        <v>125</v>
      </c>
      <c r="D1472" s="16" t="s">
        <v>512</v>
      </c>
      <c r="E1472" s="16"/>
      <c r="F1472" s="16"/>
      <c r="G1472" s="6" t="s">
        <f>=A1472-A1471</f>
      </c>
      <c r="H1472" s="6" t="s">
        <f>=B1472+H1471</f>
      </c>
      <c r="I1472" s="6" t="s">
        <f>=G1472*H1471</f>
      </c>
    </row>
    <row collapsed="false" customFormat="false" customHeight="false" hidden="false" ht="12.1" outlineLevel="0" r="1473">
      <c r="A1473" s="13" t="n">
        <v>46073.519398148</v>
      </c>
      <c r="B1473" s="6" t="n">
        <v>79.74</v>
      </c>
      <c r="C1473" s="6" t="n">
        <v>79.74</v>
      </c>
      <c r="D1473" s="16" t="s">
        <v>902</v>
      </c>
      <c r="E1473" s="16"/>
      <c r="F1473" s="16"/>
      <c r="G1473" s="6" t="s">
        <f>=A1473-A1472</f>
      </c>
      <c r="H1473" s="6" t="s">
        <f>=B1473+H1472</f>
      </c>
      <c r="I1473" s="6" t="s">
        <f>=G1473*H1472</f>
      </c>
    </row>
    <row collapsed="false" customFormat="false" customHeight="false" hidden="false" ht="12.1" outlineLevel="0" r="1474">
      <c r="A1474" s="13" t="n">
        <v>46074</v>
      </c>
      <c r="B1474" s="6" t="n">
        <v>-12.66</v>
      </c>
      <c r="C1474" s="6" t="n">
        <v>-12.66</v>
      </c>
      <c r="D1474" s="16" t="s">
        <v>903</v>
      </c>
      <c r="E1474" s="16"/>
      <c r="F1474" s="16"/>
      <c r="G1474" s="6" t="s">
        <f>=A1474-A1473</f>
      </c>
      <c r="H1474" s="6" t="s">
        <f>=B1474+H1473</f>
      </c>
      <c r="I1474" s="6" t="s">
        <f>=G1474*H1473</f>
      </c>
    </row>
    <row collapsed="false" customFormat="false" customHeight="false" hidden="false" ht="12.1" outlineLevel="0" r="1475">
      <c r="A1475" s="13" t="n">
        <v>46075</v>
      </c>
      <c r="B1475" s="6" t="n">
        <v>-14.79</v>
      </c>
      <c r="C1475" s="6" t="n">
        <v>-14.79</v>
      </c>
      <c r="D1475" s="16" t="s">
        <v>904</v>
      </c>
      <c r="E1475" s="16"/>
      <c r="F1475" s="16"/>
      <c r="G1475" s="6" t="s">
        <f>=A1475-A1474</f>
      </c>
      <c r="H1475" s="6" t="s">
        <f>=B1475+H1474</f>
      </c>
      <c r="I1475" s="6" t="s">
        <f>=G1475*H1474</f>
      </c>
    </row>
    <row collapsed="false" customFormat="false" customHeight="false" hidden="false" ht="12.1" outlineLevel="0" r="1476">
      <c r="A1476" s="13" t="n">
        <v>46076</v>
      </c>
      <c r="B1476" s="6" t="n">
        <v>-19.48</v>
      </c>
      <c r="C1476" s="6" t="n">
        <v>-19.48</v>
      </c>
      <c r="D1476" s="16" t="s">
        <v>763</v>
      </c>
      <c r="E1476" s="16"/>
      <c r="F1476" s="16"/>
      <c r="G1476" s="6" t="s">
        <f>=A1476-A1475</f>
      </c>
      <c r="H1476" s="6" t="s">
        <f>=B1476+H1475</f>
      </c>
      <c r="I1476" s="6" t="s">
        <f>=G1476*H1475</f>
      </c>
    </row>
    <row collapsed="false" customFormat="false" customHeight="false" hidden="false" ht="12.1" outlineLevel="0" r="1477">
      <c r="A1477" s="13" t="n">
        <v>46076</v>
      </c>
      <c r="B1477" s="6" t="n">
        <v>-11.42</v>
      </c>
      <c r="C1477" s="6" t="n">
        <v>-11.42</v>
      </c>
      <c r="D1477" s="16" t="s">
        <v>905</v>
      </c>
      <c r="E1477" s="16"/>
      <c r="F1477" s="16"/>
      <c r="G1477" s="6" t="s">
        <f>=A1477-A1476</f>
      </c>
      <c r="H1477" s="6" t="s">
        <f>=B1477+H1476</f>
      </c>
      <c r="I1477" s="6" t="s">
        <f>=G1477*H1476</f>
      </c>
    </row>
    <row collapsed="false" customFormat="false" customHeight="false" hidden="false" ht="12.1" outlineLevel="0" r="1478">
      <c r="A1478" s="13" t="n">
        <v>46077</v>
      </c>
      <c r="B1478" s="6" t="n">
        <v>-74.79</v>
      </c>
      <c r="C1478" s="6" t="n">
        <v>-74.79</v>
      </c>
      <c r="D1478" s="16" t="s">
        <v>696</v>
      </c>
      <c r="E1478" s="16"/>
      <c r="F1478" s="16"/>
      <c r="G1478" s="6" t="s">
        <f>=A1478-A1477</f>
      </c>
      <c r="H1478" s="6" t="s">
        <f>=B1478+H1477</f>
      </c>
      <c r="I1478" s="6" t="s">
        <f>=G1478*H1477</f>
      </c>
    </row>
    <row collapsed="false" customFormat="false" customHeight="false" hidden="false" ht="12.1" outlineLevel="0" r="1479">
      <c r="A1479" s="13" t="n">
        <v>46077</v>
      </c>
      <c r="B1479" s="6" t="n">
        <v>-27.36</v>
      </c>
      <c r="C1479" s="6" t="n">
        <v>-27.36</v>
      </c>
      <c r="D1479" s="16" t="s">
        <v>906</v>
      </c>
      <c r="E1479" s="16"/>
      <c r="F1479" s="16"/>
      <c r="G1479" s="6" t="s">
        <f>=A1479-A1478</f>
      </c>
      <c r="H1479" s="6" t="s">
        <f>=B1479+H1478</f>
      </c>
      <c r="I1479" s="6" t="s">
        <f>=G1479*H1478</f>
      </c>
    </row>
    <row collapsed="false" customFormat="false" customHeight="false" hidden="false" ht="12.1" outlineLevel="0" r="1480">
      <c r="A1480" s="12" t="n">
        <v>46078</v>
      </c>
      <c r="B1480" s="5" t="n">
        <v>-629944.16</v>
      </c>
      <c r="C1480" s="5" t="n">
        <v>-629944.16</v>
      </c>
      <c r="D1480" s="14" t="s">
        <v>907</v>
      </c>
      <c r="E1480" s="16"/>
      <c r="F1480" s="16"/>
      <c r="G1480" s="6" t="s">
        <f>=A1480-A1479</f>
      </c>
      <c r="H1480" s="6" t="s">
        <f>=B1480+H1479</f>
      </c>
      <c r="I1480" s="6" t="s">
        <f>=G1480*H1479</f>
      </c>
    </row>
    <row collapsed="false" customFormat="false" customHeight="false" hidden="false" ht="12.1" outlineLevel="0" r="1481">
      <c r="A1481" s="13"/>
      <c r="B1481" s="9" t="s">
        <f>=XIRR(B2:B1480,A2:A1480)</f>
      </c>
      <c r="C1481" s="9" t="s">
        <f>=XIRR(C2:C1480,A2:A1480)</f>
      </c>
      <c r="D1481" s="16" t="s">
        <v>908</v>
      </c>
      <c r="E1481" s="16"/>
      <c r="F1481" s="16"/>
      <c r="G1481" s="7"/>
      <c r="H1481" s="2" t="s">
        <v>909</v>
      </c>
      <c r="I1481" s="6" t="s">
        <f>=SUM(I2:I1480)/365</f>
      </c>
    </row>
    <row collapsed="false" customFormat="false" customHeight="false" hidden="false" ht="12.1" outlineLevel="0" r="1482">
      <c r="A1482" s="13"/>
      <c r="B1482" s="5" t="s">
        <f>=-SUM(B2:B1480)</f>
      </c>
      <c r="C1482" s="5" t="s">
        <f>=-SUM(C2:C1480)</f>
      </c>
      <c r="D1482" s="16" t="s">
        <v>910</v>
      </c>
      <c r="E1482" s="16"/>
      <c r="F1482" s="16"/>
      <c r="G1482" s="7"/>
      <c r="H1482" s="14" t="s">
        <v>911</v>
      </c>
      <c r="I1482" s="9" t="s">
        <f>=B1482/I1481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R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84</v>
      </c>
      <c r="BZ1" s="0"/>
      <c r="CA1" s="0"/>
      <c r="CB1" s="4" t="s">
        <v>88</v>
      </c>
      <c r="CC1" s="0"/>
      <c r="CD1" s="0"/>
      <c r="CE1" s="4" t="s">
        <v>91</v>
      </c>
      <c r="CF1" s="0"/>
      <c r="CG1" s="0"/>
      <c r="CH1" s="4" t="s">
        <v>94</v>
      </c>
      <c r="CI1" s="0"/>
      <c r="CJ1" s="0"/>
      <c r="CK1" s="4" t="s">
        <v>97</v>
      </c>
      <c r="CL1" s="0"/>
      <c r="CM1" s="0"/>
      <c r="CN1" s="4" t="s">
        <v>100</v>
      </c>
      <c r="CO1" s="0"/>
      <c r="CP1" s="0"/>
      <c r="CQ1" s="4" t="s">
        <v>103</v>
      </c>
      <c r="CR1" s="0"/>
      <c r="CS1" s="0"/>
      <c r="CT1" s="4" t="s">
        <v>106</v>
      </c>
      <c r="CU1" s="0"/>
      <c r="CV1" s="0"/>
      <c r="CW1" s="4" t="s">
        <v>109</v>
      </c>
      <c r="CX1" s="0"/>
      <c r="CY1" s="0"/>
      <c r="CZ1" s="4" t="s">
        <v>112</v>
      </c>
      <c r="DA1" s="0"/>
      <c r="DB1" s="0"/>
      <c r="DC1" s="4" t="s">
        <v>115</v>
      </c>
      <c r="DD1" s="0"/>
      <c r="DE1" s="0"/>
      <c r="DF1" s="4" t="s">
        <v>118</v>
      </c>
      <c r="DG1" s="0"/>
      <c r="DH1" s="0"/>
      <c r="DI1" s="4" t="s">
        <v>121</v>
      </c>
      <c r="DJ1" s="0"/>
      <c r="DK1" s="0"/>
      <c r="DL1" s="4" t="s">
        <v>124</v>
      </c>
      <c r="DM1" s="0"/>
      <c r="DN1" s="0"/>
      <c r="DO1" s="4" t="s">
        <v>127</v>
      </c>
      <c r="DP1" s="0"/>
      <c r="DQ1" s="0"/>
      <c r="DR1" s="4" t="s">
        <v>130</v>
      </c>
      <c r="DS1" s="0"/>
      <c r="DT1" s="0"/>
      <c r="DU1" s="4" t="s">
        <v>133</v>
      </c>
      <c r="DV1" s="0"/>
      <c r="DW1" s="0"/>
      <c r="DX1" s="4" t="s">
        <v>136</v>
      </c>
      <c r="DY1" s="0"/>
      <c r="DZ1" s="0"/>
      <c r="EA1" s="4" t="s">
        <v>139</v>
      </c>
      <c r="EB1" s="0"/>
      <c r="EC1" s="0"/>
      <c r="ED1" s="4" t="s">
        <v>142</v>
      </c>
      <c r="EE1" s="0"/>
      <c r="EF1" s="0"/>
      <c r="EG1" s="4" t="s">
        <v>145</v>
      </c>
      <c r="EH1" s="0"/>
      <c r="EI1" s="0"/>
      <c r="EJ1" s="4" t="s">
        <v>148</v>
      </c>
      <c r="EK1" s="0"/>
      <c r="EL1" s="0"/>
      <c r="EM1" s="4" t="s">
        <v>151</v>
      </c>
      <c r="EN1" s="0"/>
      <c r="EO1" s="0"/>
      <c r="EP1" s="4" t="s">
        <v>154</v>
      </c>
      <c r="EQ1" s="0"/>
      <c r="ER1" s="0"/>
      <c r="ES1" s="4" t="s">
        <v>157</v>
      </c>
      <c r="ET1" s="0"/>
      <c r="EU1" s="0"/>
      <c r="EV1" s="4" t="s">
        <v>160</v>
      </c>
      <c r="EW1" s="0"/>
      <c r="EX1" s="0"/>
      <c r="EY1" s="4" t="s">
        <v>163</v>
      </c>
      <c r="EZ1" s="0"/>
      <c r="FA1" s="0"/>
      <c r="FB1" s="4" t="s">
        <v>166</v>
      </c>
      <c r="FC1" s="0"/>
      <c r="FD1" s="0"/>
      <c r="FE1" s="4" t="s">
        <v>169</v>
      </c>
      <c r="FF1" s="0"/>
      <c r="FG1" s="0"/>
      <c r="FH1" s="4" t="s">
        <v>172</v>
      </c>
      <c r="FI1" s="0"/>
      <c r="FJ1" s="0"/>
      <c r="FK1" s="4" t="s">
        <v>175</v>
      </c>
      <c r="FL1" s="0"/>
      <c r="FM1" s="0"/>
      <c r="FN1" s="4" t="s">
        <v>178</v>
      </c>
      <c r="FO1" s="0"/>
      <c r="FP1" s="0"/>
      <c r="FQ1" s="4" t="s">
        <v>181</v>
      </c>
      <c r="FR1" s="0"/>
      <c r="FS1" s="0"/>
      <c r="FT1" s="4" t="s">
        <v>184</v>
      </c>
      <c r="FU1" s="0"/>
      <c r="FV1" s="0"/>
      <c r="FW1" s="4" t="s">
        <v>187</v>
      </c>
      <c r="FX1" s="0"/>
      <c r="FY1" s="0"/>
      <c r="FZ1" s="4" t="s">
        <v>190</v>
      </c>
      <c r="GA1" s="0"/>
      <c r="GB1" s="0"/>
      <c r="GC1" s="4" t="s">
        <v>193</v>
      </c>
      <c r="GD1" s="0"/>
      <c r="GE1" s="0"/>
      <c r="GF1" s="4" t="s">
        <v>196</v>
      </c>
      <c r="GG1" s="0"/>
      <c r="GH1" s="0"/>
      <c r="GI1" s="4" t="s">
        <v>199</v>
      </c>
      <c r="GJ1" s="0"/>
      <c r="GK1" s="0"/>
      <c r="GL1" s="4" t="s">
        <v>202</v>
      </c>
      <c r="GM1" s="0"/>
      <c r="GN1" s="0"/>
      <c r="GO1" s="4" t="s">
        <v>205</v>
      </c>
      <c r="GP1" s="0"/>
      <c r="GQ1" s="0"/>
      <c r="GR1" s="4" t="s">
        <v>208</v>
      </c>
      <c r="GS1" s="0"/>
      <c r="GT1" s="0"/>
      <c r="GU1" s="4" t="s">
        <v>211</v>
      </c>
      <c r="GV1" s="0"/>
      <c r="GW1" s="0"/>
      <c r="GX1" s="4" t="s">
        <v>214</v>
      </c>
      <c r="GY1" s="0"/>
      <c r="GZ1" s="0"/>
      <c r="HA1" s="4" t="s">
        <v>217</v>
      </c>
      <c r="HB1" s="0"/>
      <c r="HC1" s="0"/>
      <c r="HD1" s="4" t="s">
        <v>220</v>
      </c>
      <c r="HE1" s="0"/>
      <c r="HF1" s="0"/>
      <c r="HG1" s="4" t="s">
        <v>223</v>
      </c>
      <c r="HH1" s="0"/>
      <c r="HI1" s="0"/>
      <c r="HJ1" s="4" t="s">
        <v>226</v>
      </c>
      <c r="HK1" s="0"/>
      <c r="HL1" s="0"/>
      <c r="HM1" s="4" t="s">
        <v>229</v>
      </c>
      <c r="HN1" s="0"/>
      <c r="HO1" s="0"/>
      <c r="HP1" s="4" t="s">
        <v>232</v>
      </c>
      <c r="HQ1" s="0"/>
      <c r="HR1" s="0"/>
      <c r="HS1" s="4" t="s">
        <v>234</v>
      </c>
      <c r="HT1" s="0"/>
      <c r="HU1" s="0"/>
      <c r="HV1" s="4" t="s">
        <v>237</v>
      </c>
      <c r="HW1" s="0"/>
      <c r="HX1" s="0"/>
      <c r="HY1" s="4" t="s">
        <v>240</v>
      </c>
      <c r="HZ1" s="0"/>
      <c r="IA1" s="0"/>
      <c r="IB1" s="4" t="s">
        <v>243</v>
      </c>
      <c r="IC1" s="0"/>
      <c r="ID1" s="0"/>
      <c r="IE1" s="4" t="s">
        <v>246</v>
      </c>
      <c r="IF1" s="0"/>
      <c r="IG1" s="0"/>
      <c r="IH1" s="4" t="s">
        <v>249</v>
      </c>
      <c r="II1" s="0"/>
      <c r="IJ1" s="0"/>
      <c r="IK1" s="4" t="s">
        <v>252</v>
      </c>
      <c r="IL1" s="0"/>
      <c r="IM1" s="0"/>
      <c r="IN1" s="4" t="s">
        <v>254</v>
      </c>
      <c r="IO1" s="0"/>
      <c r="IP1" s="0"/>
      <c r="IQ1" s="4" t="s">
        <v>257</v>
      </c>
      <c r="IR1" s="0"/>
      <c r="IS1" s="0"/>
      <c r="IT1" s="4" t="s">
        <v>260</v>
      </c>
      <c r="IU1" s="0"/>
      <c r="IV1" s="0"/>
      <c r="IW1" s="4" t="s">
        <v>263</v>
      </c>
      <c r="IX1" s="0"/>
      <c r="IY1" s="0"/>
      <c r="IZ1" s="4" t="s">
        <v>266</v>
      </c>
      <c r="JA1" s="0"/>
      <c r="JB1" s="0"/>
      <c r="JC1" s="4" t="s">
        <v>269</v>
      </c>
      <c r="JD1" s="0"/>
      <c r="JE1" s="0"/>
      <c r="JF1" s="4" t="s">
        <v>272</v>
      </c>
      <c r="JG1" s="0"/>
      <c r="JH1" s="0"/>
      <c r="JI1" s="4" t="s">
        <v>275</v>
      </c>
      <c r="JJ1" s="0"/>
      <c r="JK1" s="0"/>
      <c r="JL1" s="4" t="s">
        <v>278</v>
      </c>
      <c r="JM1" s="0"/>
      <c r="JN1" s="0"/>
      <c r="JO1" s="4" t="s">
        <v>281</v>
      </c>
      <c r="JP1" s="0"/>
      <c r="JQ1" s="0"/>
      <c r="JR1" s="4" t="s">
        <v>284</v>
      </c>
      <c r="JS1" s="0"/>
      <c r="JT1" s="0"/>
      <c r="JU1" s="4" t="s">
        <v>287</v>
      </c>
      <c r="JV1" s="0"/>
      <c r="JW1" s="0"/>
      <c r="JX1" s="4" t="s">
        <v>290</v>
      </c>
      <c r="JY1" s="0"/>
      <c r="JZ1" s="0"/>
      <c r="KA1" s="4" t="s">
        <v>293</v>
      </c>
      <c r="KB1" s="0"/>
      <c r="KC1" s="0"/>
      <c r="KD1" s="4" t="s">
        <v>296</v>
      </c>
      <c r="KE1" s="0"/>
      <c r="KF1" s="0"/>
      <c r="KG1" s="4" t="s">
        <v>299</v>
      </c>
      <c r="KH1" s="0"/>
      <c r="KI1" s="0"/>
      <c r="KJ1" s="4" t="s">
        <v>302</v>
      </c>
      <c r="KK1" s="0"/>
      <c r="KL1" s="0"/>
      <c r="KM1" s="4" t="s">
        <v>305</v>
      </c>
      <c r="KN1" s="0"/>
      <c r="KO1" s="0"/>
      <c r="KP1" s="4" t="s">
        <v>308</v>
      </c>
      <c r="KQ1" s="0"/>
      <c r="KR1" s="0"/>
      <c r="KS1" s="4" t="s">
        <v>311</v>
      </c>
      <c r="KT1" s="0"/>
      <c r="KU1" s="0"/>
      <c r="KV1" s="4" t="s">
        <v>314</v>
      </c>
      <c r="KW1" s="0"/>
      <c r="KX1" s="0"/>
      <c r="KY1" s="4" t="s">
        <v>317</v>
      </c>
      <c r="KZ1" s="0"/>
      <c r="LA1" s="0"/>
      <c r="LB1" s="4" t="s">
        <v>320</v>
      </c>
      <c r="LC1" s="0"/>
      <c r="LD1" s="0"/>
      <c r="LE1" s="4" t="s">
        <v>323</v>
      </c>
      <c r="LF1" s="0"/>
      <c r="LG1" s="0"/>
      <c r="LH1" s="4" t="s">
        <v>326</v>
      </c>
      <c r="LI1" s="0"/>
      <c r="LJ1" s="0"/>
      <c r="LK1" s="4" t="s">
        <v>329</v>
      </c>
      <c r="LL1" s="0"/>
      <c r="LM1" s="0"/>
      <c r="LN1" s="4" t="s">
        <v>331</v>
      </c>
      <c r="LO1" s="0"/>
      <c r="LP1" s="0"/>
      <c r="LQ1" s="4" t="s">
        <v>334</v>
      </c>
      <c r="LR1" s="0"/>
    </row>
    <row collapsed="false" customFormat="false" customHeight="false" hidden="false" ht="12.1" outlineLevel="0" r="2">
      <c r="A2" s="11" t="n">
        <v>44910</v>
      </c>
      <c r="B2" s="6" t="n">
        <v>1362.07</v>
      </c>
      <c r="C2" s="0" t="s">
        <v>912</v>
      </c>
      <c r="D2" s="11" t="n">
        <v>45869</v>
      </c>
      <c r="E2" s="6" t="n">
        <v>4182.67</v>
      </c>
      <c r="F2" s="0" t="s">
        <v>912</v>
      </c>
      <c r="G2" s="11" t="n">
        <v>45001</v>
      </c>
      <c r="H2" s="6" t="n">
        <v>9215.06</v>
      </c>
      <c r="I2" s="0" t="s">
        <v>912</v>
      </c>
      <c r="J2" s="11" t="n">
        <v>45639</v>
      </c>
      <c r="K2" s="6" t="n">
        <v>2295.87</v>
      </c>
      <c r="L2" s="0" t="s">
        <v>912</v>
      </c>
      <c r="M2" s="11" t="n">
        <v>44929</v>
      </c>
      <c r="N2" s="6" t="n">
        <v>1419.65</v>
      </c>
      <c r="O2" s="0" t="s">
        <v>912</v>
      </c>
      <c r="P2" s="11" t="n">
        <v>44769</v>
      </c>
      <c r="Q2" s="6" t="n">
        <v>1976.51</v>
      </c>
      <c r="R2" s="0" t="s">
        <v>912</v>
      </c>
      <c r="S2" s="11" t="n">
        <v>44984</v>
      </c>
      <c r="T2" s="6" t="n">
        <v>1161.47</v>
      </c>
      <c r="U2" s="0" t="s">
        <v>912</v>
      </c>
      <c r="V2" s="11" t="n">
        <v>44769</v>
      </c>
      <c r="W2" s="6" t="n">
        <v>394.48</v>
      </c>
      <c r="X2" s="0" t="s">
        <v>912</v>
      </c>
      <c r="Y2" s="11" t="n">
        <v>44769</v>
      </c>
      <c r="Z2" s="6" t="n">
        <v>331.59</v>
      </c>
      <c r="AA2" s="0" t="s">
        <v>912</v>
      </c>
      <c r="AB2" s="11" t="n">
        <v>45198</v>
      </c>
      <c r="AC2" s="6" t="n">
        <v>2761.76</v>
      </c>
      <c r="AD2" s="0" t="s">
        <v>912</v>
      </c>
      <c r="AE2" s="11" t="n">
        <v>44761</v>
      </c>
      <c r="AF2" s="6" t="n">
        <v>753.75</v>
      </c>
      <c r="AG2" s="0" t="s">
        <v>912</v>
      </c>
      <c r="AH2" s="11" t="n">
        <v>44748</v>
      </c>
      <c r="AI2" s="6" t="n">
        <v>189.82</v>
      </c>
      <c r="AJ2" s="0" t="s">
        <v>912</v>
      </c>
      <c r="AK2" s="11" t="n">
        <v>45085</v>
      </c>
      <c r="AL2" s="6" t="n">
        <v>3342</v>
      </c>
      <c r="AM2" s="0" t="s">
        <v>912</v>
      </c>
      <c r="AN2" s="11" t="n">
        <v>45639</v>
      </c>
      <c r="AO2" s="6" t="n">
        <v>3070.28</v>
      </c>
      <c r="AP2" s="0" t="s">
        <v>912</v>
      </c>
      <c r="AQ2" s="11" t="n">
        <v>44984</v>
      </c>
      <c r="AR2" s="6" t="n">
        <v>283.25</v>
      </c>
      <c r="AS2" s="0" t="s">
        <v>912</v>
      </c>
      <c r="AT2" s="11" t="n">
        <v>45035</v>
      </c>
      <c r="AU2" s="6" t="n">
        <v>638.11</v>
      </c>
      <c r="AV2" s="0" t="s">
        <v>912</v>
      </c>
      <c r="AW2" s="11" t="n">
        <v>45418</v>
      </c>
      <c r="AX2" s="6" t="n">
        <v>1541.21</v>
      </c>
      <c r="AY2" s="0" t="s">
        <v>912</v>
      </c>
      <c r="AZ2" s="11" t="n">
        <v>44929</v>
      </c>
      <c r="BA2" s="6" t="n">
        <v>1208.31</v>
      </c>
      <c r="BB2" s="0" t="s">
        <v>912</v>
      </c>
      <c r="BC2" s="11" t="n">
        <v>44858</v>
      </c>
      <c r="BD2" s="6" t="n">
        <v>626.47</v>
      </c>
      <c r="BE2" s="0" t="s">
        <v>912</v>
      </c>
      <c r="BF2" s="11" t="n">
        <v>44999</v>
      </c>
      <c r="BG2" s="6" t="n">
        <v>2232.68</v>
      </c>
      <c r="BH2" s="0" t="s">
        <v>912</v>
      </c>
      <c r="BI2" s="11" t="n">
        <v>44742</v>
      </c>
      <c r="BJ2" s="6" t="n">
        <v>1031.08</v>
      </c>
      <c r="BK2" s="0" t="s">
        <v>912</v>
      </c>
      <c r="BL2" s="11" t="n">
        <v>45729</v>
      </c>
      <c r="BM2" s="6" t="n">
        <v>1554.05</v>
      </c>
      <c r="BN2" s="0" t="s">
        <v>912</v>
      </c>
      <c r="BO2" s="11" t="n">
        <v>44699</v>
      </c>
      <c r="BP2" s="6" t="n">
        <v>454.56</v>
      </c>
      <c r="BQ2" s="0" t="s">
        <v>912</v>
      </c>
      <c r="BR2" s="11" t="n">
        <v>45471</v>
      </c>
      <c r="BS2" s="6" t="n">
        <v>421.81</v>
      </c>
      <c r="BT2" s="0" t="s">
        <v>912</v>
      </c>
      <c r="BU2" s="11" t="n">
        <v>45471</v>
      </c>
      <c r="BV2" s="6" t="n">
        <v>707.22</v>
      </c>
      <c r="BW2" s="0" t="s">
        <v>912</v>
      </c>
      <c r="BX2" s="11" t="n">
        <v>44708</v>
      </c>
      <c r="BY2" s="6" t="s">
        <f>=786.84</f>
      </c>
      <c r="BZ2" s="0" t="s">
        <v>912</v>
      </c>
      <c r="CA2" s="11" t="n">
        <v>44739</v>
      </c>
      <c r="CB2" s="6" t="s">
        <f>=1107.71</f>
      </c>
      <c r="CC2" s="0" t="s">
        <v>912</v>
      </c>
      <c r="CD2" s="11" t="n">
        <v>45147</v>
      </c>
      <c r="CE2" s="6" t="s">
        <f>=2817.63</f>
      </c>
      <c r="CF2" s="0" t="s">
        <v>912</v>
      </c>
      <c r="CG2" s="11" t="n">
        <v>44903</v>
      </c>
      <c r="CH2" s="6" t="s">
        <f>=766.25</f>
      </c>
      <c r="CI2" s="0" t="s">
        <v>912</v>
      </c>
      <c r="CJ2" s="11" t="n">
        <v>45702</v>
      </c>
      <c r="CK2" s="6" t="s">
        <f>=886.71</f>
      </c>
      <c r="CL2" s="0" t="s">
        <v>912</v>
      </c>
      <c r="CM2" s="11" t="n">
        <v>45566</v>
      </c>
      <c r="CN2" s="6" t="s">
        <f>=834.85</f>
      </c>
      <c r="CO2" s="0" t="s">
        <v>912</v>
      </c>
      <c r="CP2" s="11" t="n">
        <v>44699</v>
      </c>
      <c r="CQ2" s="6" t="s">
        <f>=769.66</f>
      </c>
      <c r="CR2" s="0" t="s">
        <v>912</v>
      </c>
      <c r="CS2" s="11" t="n">
        <v>44868</v>
      </c>
      <c r="CT2" s="6" t="s">
        <f>=831.71</f>
      </c>
      <c r="CU2" s="0" t="s">
        <v>912</v>
      </c>
      <c r="CV2" s="11" t="n">
        <v>44708</v>
      </c>
      <c r="CW2" s="6" t="s">
        <f>=1064.65</f>
      </c>
      <c r="CX2" s="0" t="s">
        <v>912</v>
      </c>
      <c r="CY2" s="11" t="n">
        <v>44903</v>
      </c>
      <c r="CZ2" s="6" t="s">
        <f>=808.71</f>
      </c>
      <c r="DA2" s="0" t="s">
        <v>912</v>
      </c>
      <c r="DB2" s="11" t="n">
        <v>45566</v>
      </c>
      <c r="DC2" s="6" t="s">
        <f>=836.65</f>
      </c>
      <c r="DD2" s="0" t="s">
        <v>912</v>
      </c>
      <c r="DE2" s="11" t="n">
        <v>45303</v>
      </c>
      <c r="DF2" s="6" t="s">
        <f>=1773.59</f>
      </c>
      <c r="DG2" s="0" t="s">
        <v>912</v>
      </c>
      <c r="DH2" s="11" t="n">
        <v>45702</v>
      </c>
      <c r="DI2" s="6" t="s">
        <f>=887.6</f>
      </c>
      <c r="DJ2" s="0" t="s">
        <v>912</v>
      </c>
      <c r="DK2" s="11" t="n">
        <v>45061</v>
      </c>
      <c r="DL2" s="6" t="s">
        <f>=897.96</f>
      </c>
      <c r="DM2" s="0" t="s">
        <v>912</v>
      </c>
      <c r="DN2" s="11" t="n">
        <v>44868</v>
      </c>
      <c r="DO2" s="6" t="s">
        <f>=870.54</f>
      </c>
      <c r="DP2" s="0" t="s">
        <v>912</v>
      </c>
      <c r="DQ2" s="11" t="n">
        <v>45303</v>
      </c>
      <c r="DR2" s="6" t="s">
        <f>=1984.34</f>
      </c>
      <c r="DS2" s="0" t="s">
        <v>912</v>
      </c>
      <c r="DT2" s="11" t="n">
        <v>45351</v>
      </c>
      <c r="DU2" s="6" t="s">
        <f>=865.68</f>
      </c>
      <c r="DV2" s="0" t="s">
        <v>912</v>
      </c>
      <c r="DW2" s="11" t="n">
        <v>44708</v>
      </c>
      <c r="DX2" s="6" t="s">
        <f>=858.05</f>
      </c>
      <c r="DY2" s="0" t="s">
        <v>912</v>
      </c>
      <c r="DZ2" s="11" t="n">
        <v>45026</v>
      </c>
      <c r="EA2" s="6" t="s">
        <f>=1027.73</f>
      </c>
      <c r="EB2" s="0" t="s">
        <v>912</v>
      </c>
      <c r="EC2" s="11" t="n">
        <v>44903</v>
      </c>
      <c r="ED2" s="6" t="s">
        <f>=1060.71</f>
      </c>
      <c r="EE2" s="0" t="s">
        <v>912</v>
      </c>
      <c r="EF2" s="11" t="n">
        <v>45901</v>
      </c>
      <c r="EG2" s="6" t="s">
        <f>=928.66</f>
      </c>
      <c r="EH2" s="0" t="s">
        <v>912</v>
      </c>
      <c r="EI2" s="11" t="n">
        <v>45959</v>
      </c>
      <c r="EJ2" s="6" t="s">
        <f>=885.1</f>
      </c>
      <c r="EK2" s="0" t="s">
        <v>912</v>
      </c>
      <c r="EL2" s="11" t="n">
        <v>45670</v>
      </c>
      <c r="EM2" s="6" t="s">
        <f>=829.97</f>
      </c>
      <c r="EN2" s="0" t="s">
        <v>912</v>
      </c>
      <c r="EO2" s="11" t="n">
        <v>45447</v>
      </c>
      <c r="EP2" s="6" t="s">
        <f>=692.44</f>
      </c>
      <c r="EQ2" s="0" t="s">
        <v>912</v>
      </c>
      <c r="ER2" s="11" t="n">
        <v>45009</v>
      </c>
      <c r="ES2" s="6" t="s">
        <f>=1151.69</f>
      </c>
      <c r="ET2" s="0" t="s">
        <v>912</v>
      </c>
      <c r="EU2" s="11" t="n">
        <v>45541</v>
      </c>
      <c r="EV2" s="6" t="s">
        <f>=841.44</f>
      </c>
      <c r="EW2" s="0" t="s">
        <v>912</v>
      </c>
      <c r="EX2" s="11" t="n">
        <v>45356</v>
      </c>
      <c r="EY2" s="6" t="s">
        <f>=878.2</f>
      </c>
      <c r="EZ2" s="0" t="s">
        <v>912</v>
      </c>
      <c r="FA2" s="11" t="n">
        <v>45471</v>
      </c>
      <c r="FB2" s="6" t="s">
        <f>=2548.19</f>
      </c>
      <c r="FC2" s="0" t="s">
        <v>912</v>
      </c>
      <c r="FD2" s="11" t="n">
        <v>46027</v>
      </c>
      <c r="FE2" s="6" t="s">
        <f>=941.67</f>
      </c>
      <c r="FF2" s="0" t="s">
        <v>912</v>
      </c>
      <c r="FG2" s="11" t="n">
        <v>45541</v>
      </c>
      <c r="FH2" s="6" t="s">
        <f>=806.56</f>
      </c>
      <c r="FI2" s="0" t="s">
        <v>912</v>
      </c>
      <c r="FJ2" s="11" t="n">
        <v>45670</v>
      </c>
      <c r="FK2" s="6" t="s">
        <f>=869.81</f>
      </c>
      <c r="FL2" s="0" t="s">
        <v>912</v>
      </c>
      <c r="FM2" s="11" t="n">
        <v>45813</v>
      </c>
      <c r="FN2" s="6" t="s">
        <f>=1086.68</f>
      </c>
      <c r="FO2" s="0" t="s">
        <v>912</v>
      </c>
      <c r="FP2" s="11" t="n">
        <v>46055</v>
      </c>
      <c r="FQ2" s="6" t="s">
        <f>=1024.91</f>
      </c>
      <c r="FR2" s="0" t="s">
        <v>912</v>
      </c>
      <c r="FS2" s="11" t="n">
        <v>46055</v>
      </c>
      <c r="FT2" s="6" t="s">
        <f>=1028.98</f>
      </c>
      <c r="FU2" s="0" t="s">
        <v>912</v>
      </c>
      <c r="FV2" s="11" t="n">
        <v>46055</v>
      </c>
      <c r="FW2" s="6" t="s">
        <f>=1052.91</f>
      </c>
      <c r="FX2" s="0" t="s">
        <v>912</v>
      </c>
      <c r="FY2" s="11" t="n">
        <v>46055</v>
      </c>
      <c r="FZ2" s="6" t="s">
        <f>=1038.96</f>
      </c>
      <c r="GA2" s="0" t="s">
        <v>912</v>
      </c>
      <c r="GB2" s="11" t="n">
        <v>46055</v>
      </c>
      <c r="GC2" s="6" t="s">
        <f>=1013.41</f>
      </c>
      <c r="GD2" s="0" t="s">
        <v>912</v>
      </c>
      <c r="GE2" s="11" t="n">
        <v>45356</v>
      </c>
      <c r="GF2" s="6" t="s">
        <f>=865.03</f>
      </c>
      <c r="GG2" s="0" t="s">
        <v>912</v>
      </c>
      <c r="GH2" s="11" t="n">
        <v>45147</v>
      </c>
      <c r="GI2" s="6" t="s">
        <f>=2031</f>
      </c>
      <c r="GJ2" s="0" t="s">
        <v>912</v>
      </c>
      <c r="GK2" s="11" t="n">
        <v>45471</v>
      </c>
      <c r="GL2" s="6" t="s">
        <f>=1016.68</f>
      </c>
      <c r="GM2" s="0" t="s">
        <v>912</v>
      </c>
      <c r="GN2" s="11" t="n">
        <v>46027</v>
      </c>
      <c r="GO2" s="6" t="s">
        <f>=962.6</f>
      </c>
      <c r="GP2" s="0" t="s">
        <v>912</v>
      </c>
      <c r="GQ2" s="11" t="n">
        <v>46027</v>
      </c>
      <c r="GR2" s="6" t="s">
        <f>=965.37</f>
      </c>
      <c r="GS2" s="0" t="s">
        <v>912</v>
      </c>
      <c r="GT2" s="11" t="n">
        <v>45082</v>
      </c>
      <c r="GU2" s="6" t="s">
        <f>=1027.77</f>
      </c>
      <c r="GV2" s="0" t="s">
        <v>912</v>
      </c>
      <c r="GW2" s="11" t="n">
        <v>45541</v>
      </c>
      <c r="GX2" s="6" t="s">
        <f>=817.83</f>
      </c>
      <c r="GY2" s="0" t="s">
        <v>912</v>
      </c>
      <c r="GZ2" s="11" t="n">
        <v>45729</v>
      </c>
      <c r="HA2" s="6" t="s">
        <f>=783.05</f>
      </c>
      <c r="HB2" s="0" t="s">
        <v>912</v>
      </c>
      <c r="HC2" s="11" t="n">
        <v>45670</v>
      </c>
      <c r="HD2" s="6" t="s">
        <f>=859.96</f>
      </c>
      <c r="HE2" s="0" t="s">
        <v>912</v>
      </c>
      <c r="HF2" s="11" t="n">
        <v>45670</v>
      </c>
      <c r="HG2" s="6" t="s">
        <f>=799.74</f>
      </c>
      <c r="HH2" s="0" t="s">
        <v>912</v>
      </c>
      <c r="HI2" s="11" t="n">
        <v>45471</v>
      </c>
      <c r="HJ2" s="6" t="s">
        <f>=893.98</f>
      </c>
      <c r="HK2" s="0" t="s">
        <v>912</v>
      </c>
      <c r="HL2" s="11" t="n">
        <v>45670</v>
      </c>
      <c r="HM2" s="6" t="s">
        <f>=708.87</f>
      </c>
      <c r="HN2" s="0" t="s">
        <v>912</v>
      </c>
      <c r="HO2" s="11" t="n">
        <v>45813</v>
      </c>
      <c r="HP2" s="6" t="s">
        <f>=1097.28</f>
      </c>
      <c r="HQ2" s="0" t="s">
        <v>912</v>
      </c>
      <c r="HR2" s="11" t="n">
        <v>45776</v>
      </c>
      <c r="HS2" s="6" t="s">
        <f>=1032.56</f>
      </c>
      <c r="HT2" s="0" t="s">
        <v>912</v>
      </c>
      <c r="HU2" s="11" t="n">
        <v>45729</v>
      </c>
      <c r="HV2" s="6" t="s">
        <f>=1102.66</f>
      </c>
      <c r="HW2" s="0" t="s">
        <v>912</v>
      </c>
      <c r="HX2" s="11" t="n">
        <v>44903</v>
      </c>
      <c r="HY2" s="6" t="s">
        <f>=1068.61</f>
      </c>
      <c r="HZ2" s="0" t="s">
        <v>912</v>
      </c>
      <c r="IA2" s="11" t="n">
        <v>46055</v>
      </c>
      <c r="IB2" s="6" t="s">
        <f>=1060.38</f>
      </c>
      <c r="IC2" s="0" t="s">
        <v>912</v>
      </c>
      <c r="ID2" s="11" t="n">
        <v>45776</v>
      </c>
      <c r="IE2" s="6" t="s">
        <f>=1045.7</f>
      </c>
      <c r="IF2" s="0" t="s">
        <v>912</v>
      </c>
      <c r="IG2" s="11" t="n">
        <v>46055</v>
      </c>
      <c r="IH2" s="6" t="s">
        <f>=986.75</f>
      </c>
      <c r="II2" s="0" t="s">
        <v>912</v>
      </c>
      <c r="IJ2" s="11" t="n">
        <v>45776</v>
      </c>
      <c r="IK2" s="6" t="s">
        <f>=1022.21</f>
      </c>
      <c r="IL2" s="0" t="s">
        <v>912</v>
      </c>
      <c r="IM2" s="11" t="n">
        <v>46055</v>
      </c>
      <c r="IN2" s="6" t="s">
        <f>=988.66</f>
      </c>
      <c r="IO2" s="0" t="s">
        <v>912</v>
      </c>
      <c r="IP2" s="11" t="n">
        <v>45751</v>
      </c>
      <c r="IQ2" s="6" t="s">
        <f>=981.05</f>
      </c>
      <c r="IR2" s="0" t="s">
        <v>912</v>
      </c>
      <c r="IS2" s="11" t="n">
        <v>44866</v>
      </c>
      <c r="IT2" s="6" t="s">
        <f>=1028.46</f>
      </c>
      <c r="IU2" s="0" t="s">
        <v>912</v>
      </c>
      <c r="IV2" s="11" t="n">
        <v>46055</v>
      </c>
      <c r="IW2" s="6" t="s">
        <f>=1021.7</f>
      </c>
      <c r="IX2" s="0" t="s">
        <v>912</v>
      </c>
      <c r="IY2" s="11" t="n">
        <v>45541</v>
      </c>
      <c r="IZ2" s="6" t="s">
        <f>=842.03</f>
      </c>
      <c r="JA2" s="0" t="s">
        <v>912</v>
      </c>
      <c r="JB2" s="11" t="n">
        <v>45729</v>
      </c>
      <c r="JC2" s="6" t="s">
        <f>=894.46</f>
      </c>
      <c r="JD2" s="0" t="s">
        <v>912</v>
      </c>
      <c r="JE2" s="11" t="n">
        <v>45147</v>
      </c>
      <c r="JF2" s="6" t="s">
        <f>=1013.35</f>
      </c>
      <c r="JG2" s="0" t="s">
        <v>912</v>
      </c>
      <c r="JH2" s="11" t="n">
        <v>44862</v>
      </c>
      <c r="JI2" s="6" t="s">
        <f>=957.61</f>
      </c>
      <c r="JJ2" s="0" t="s">
        <v>912</v>
      </c>
      <c r="JK2" s="11" t="n">
        <v>45356</v>
      </c>
      <c r="JL2" s="6" t="s">
        <f>=1022.03</f>
      </c>
      <c r="JM2" s="0" t="s">
        <v>912</v>
      </c>
      <c r="JN2" s="11" t="n">
        <v>45541</v>
      </c>
      <c r="JO2" s="6" t="s">
        <f>=912.58</f>
      </c>
      <c r="JP2" s="0" t="s">
        <v>912</v>
      </c>
      <c r="JQ2" s="11" t="n">
        <v>45729</v>
      </c>
      <c r="JR2" s="6" t="s">
        <f>=916.86</f>
      </c>
      <c r="JS2" s="0" t="s">
        <v>912</v>
      </c>
      <c r="JT2" s="11" t="n">
        <v>45082</v>
      </c>
      <c r="JU2" s="6" t="s">
        <f>=988.22</f>
      </c>
      <c r="JV2" s="0" t="s">
        <v>912</v>
      </c>
      <c r="JW2" s="11" t="n">
        <v>44929</v>
      </c>
      <c r="JX2" s="6" t="s">
        <f>=1028.37</f>
      </c>
      <c r="JY2" s="0" t="s">
        <v>912</v>
      </c>
      <c r="JZ2" s="11" t="n">
        <v>45219</v>
      </c>
      <c r="KA2" s="6" t="s">
        <f>=995.2</f>
      </c>
      <c r="KB2" s="0" t="s">
        <v>912</v>
      </c>
      <c r="KC2" s="11" t="n">
        <v>45267</v>
      </c>
      <c r="KD2" s="6" t="s">
        <f>=1813.07</f>
      </c>
      <c r="KE2" s="0" t="s">
        <v>912</v>
      </c>
      <c r="KF2" s="11" t="n">
        <v>45541</v>
      </c>
      <c r="KG2" s="6" t="s">
        <f>=798.02</f>
      </c>
      <c r="KH2" s="0" t="s">
        <v>912</v>
      </c>
      <c r="KI2" s="11" t="n">
        <v>45729</v>
      </c>
      <c r="KJ2" s="6" t="s">
        <f>=861.06</f>
      </c>
      <c r="KK2" s="0" t="s">
        <v>912</v>
      </c>
      <c r="KL2" s="11" t="n">
        <v>45541</v>
      </c>
      <c r="KM2" s="6" t="s">
        <f>=823.95</f>
      </c>
      <c r="KN2" s="0" t="s">
        <v>912</v>
      </c>
      <c r="KO2" s="11" t="n">
        <v>45541</v>
      </c>
      <c r="KP2" s="6" t="s">
        <f>=860.66</f>
      </c>
      <c r="KQ2" s="0" t="s">
        <v>912</v>
      </c>
      <c r="KR2" s="11" t="n">
        <v>44867</v>
      </c>
      <c r="KS2" s="6" t="s">
        <f>=1069.62</f>
      </c>
      <c r="KT2" s="0" t="s">
        <v>912</v>
      </c>
      <c r="KU2" s="11" t="n">
        <v>45776</v>
      </c>
      <c r="KV2" s="6" t="s">
        <f>=831.81</f>
      </c>
      <c r="KW2" s="0" t="s">
        <v>912</v>
      </c>
      <c r="KX2" s="11" t="n">
        <v>45751</v>
      </c>
      <c r="KY2" s="6" t="s">
        <f>=957.5</f>
      </c>
      <c r="KZ2" s="0" t="s">
        <v>912</v>
      </c>
      <c r="LA2" s="11" t="n">
        <v>45541</v>
      </c>
      <c r="LB2" s="6" t="s">
        <f>=737.17</f>
      </c>
      <c r="LC2" s="0" t="s">
        <v>912</v>
      </c>
      <c r="LD2" s="11" t="n">
        <v>45541</v>
      </c>
      <c r="LE2" s="6" t="s">
        <f>=878.93</f>
      </c>
      <c r="LF2" s="0" t="s">
        <v>912</v>
      </c>
      <c r="LG2" s="11" t="n">
        <v>45670</v>
      </c>
      <c r="LH2" s="6" t="s">
        <f>=944.09</f>
      </c>
      <c r="LI2" s="0" t="s">
        <v>912</v>
      </c>
      <c r="LJ2" s="11" t="n">
        <v>44860</v>
      </c>
      <c r="LK2" s="6" t="s">
        <f>=913.22</f>
      </c>
      <c r="LL2" s="0" t="s">
        <v>912</v>
      </c>
      <c r="LM2" s="11" t="n">
        <v>45026</v>
      </c>
      <c r="LN2" s="6" t="s">
        <f>=566.27</f>
      </c>
      <c r="LO2" s="0" t="s">
        <v>912</v>
      </c>
      <c r="LP2" s="11" t="n">
        <v>45267</v>
      </c>
      <c r="LQ2" s="6" t="s">
        <f>=995.68</f>
      </c>
      <c r="LR2" s="0" t="s">
        <v>912</v>
      </c>
    </row>
    <row collapsed="false" customFormat="false" customHeight="false" hidden="false" ht="12.1" outlineLevel="0" r="3">
      <c r="A3" s="11" t="n">
        <v>44950</v>
      </c>
      <c r="B3" s="6" t="n">
        <v>1547.53</v>
      </c>
      <c r="C3" s="0" t="s">
        <v>912</v>
      </c>
      <c r="D3" s="11" t="n">
        <v>45901</v>
      </c>
      <c r="E3" s="6" t="n">
        <v>4297.22</v>
      </c>
      <c r="F3" s="0" t="s">
        <v>912</v>
      </c>
      <c r="G3" s="11" t="n">
        <v>45639</v>
      </c>
      <c r="H3" s="6" t="n">
        <v>-1301.75</v>
      </c>
      <c r="I3" s="0" t="s">
        <v>664</v>
      </c>
      <c r="J3" s="11" t="n">
        <v>45751</v>
      </c>
      <c r="K3" s="6" t="n">
        <v>9666.11</v>
      </c>
      <c r="L3" s="0" t="s">
        <v>912</v>
      </c>
      <c r="M3" s="11" t="n">
        <v>44984</v>
      </c>
      <c r="N3" s="6" t="n">
        <v>1678.82</v>
      </c>
      <c r="O3" s="0" t="s">
        <v>912</v>
      </c>
      <c r="P3" s="11" t="n">
        <v>44845</v>
      </c>
      <c r="Q3" s="6" t="n">
        <v>-510.3</v>
      </c>
      <c r="R3" s="0" t="s">
        <v>365</v>
      </c>
      <c r="S3" s="11" t="n">
        <v>45093</v>
      </c>
      <c r="T3" s="6" t="n">
        <v>-48.4</v>
      </c>
      <c r="U3" s="0" t="s">
        <v>431</v>
      </c>
      <c r="V3" s="11" t="n">
        <v>44845</v>
      </c>
      <c r="W3" s="6" t="n">
        <v>-32.71</v>
      </c>
      <c r="X3" s="0" t="s">
        <v>366</v>
      </c>
      <c r="Y3" s="11" t="n">
        <v>44984</v>
      </c>
      <c r="Z3" s="6" t="n">
        <v>342.17</v>
      </c>
      <c r="AA3" s="0" t="s">
        <v>912</v>
      </c>
      <c r="AB3" s="11" t="n">
        <v>45489</v>
      </c>
      <c r="AC3" s="6" t="n">
        <v>-350</v>
      </c>
      <c r="AD3" s="0" t="s">
        <v>575</v>
      </c>
      <c r="AE3" s="11" t="n">
        <v>45324</v>
      </c>
      <c r="AF3" s="6" t="n">
        <v>728.28</v>
      </c>
      <c r="AG3" s="0" t="s">
        <v>912</v>
      </c>
      <c r="AH3" s="11" t="n">
        <v>44984</v>
      </c>
      <c r="AI3" s="6" t="n">
        <v>164.74</v>
      </c>
      <c r="AJ3" s="0" t="s">
        <v>912</v>
      </c>
      <c r="AK3" s="11" t="n">
        <v>45127</v>
      </c>
      <c r="AL3" s="6" t="n">
        <v>-80</v>
      </c>
      <c r="AM3" s="0" t="s">
        <v>438</v>
      </c>
      <c r="AN3" s="11" t="n">
        <v>45782</v>
      </c>
      <c r="AO3" s="6" t="n">
        <v>-297.2</v>
      </c>
      <c r="AP3" s="0" t="s">
        <v>739</v>
      </c>
      <c r="AQ3" s="11" t="n">
        <v>45104</v>
      </c>
      <c r="AR3" s="6" t="n">
        <v>420.06</v>
      </c>
      <c r="AS3" s="0" t="s">
        <v>912</v>
      </c>
      <c r="AT3" s="11" t="n">
        <v>45104</v>
      </c>
      <c r="AU3" s="6" t="n">
        <v>728.18</v>
      </c>
      <c r="AV3" s="0" t="s">
        <v>912</v>
      </c>
      <c r="AW3" s="11" t="n">
        <v>45541</v>
      </c>
      <c r="AX3" s="6" t="n">
        <v>1056.56</v>
      </c>
      <c r="AY3" s="0" t="s">
        <v>912</v>
      </c>
      <c r="AZ3" s="11" t="n">
        <v>45126</v>
      </c>
      <c r="BA3" s="6" t="n">
        <v>-41</v>
      </c>
      <c r="BB3" s="0" t="s">
        <v>436</v>
      </c>
      <c r="BC3" s="11" t="n">
        <v>45198</v>
      </c>
      <c r="BD3" s="6" t="n">
        <v>718.25</v>
      </c>
      <c r="BE3" s="0" t="s">
        <v>912</v>
      </c>
      <c r="BF3" s="11" t="n">
        <v>45127</v>
      </c>
      <c r="BG3" s="6" t="n">
        <v>-80</v>
      </c>
      <c r="BH3" s="0" t="s">
        <v>437</v>
      </c>
      <c r="BI3" s="11" t="n">
        <v>44843</v>
      </c>
      <c r="BJ3" s="6" t="n">
        <v>-45</v>
      </c>
      <c r="BK3" s="0" t="s">
        <v>364</v>
      </c>
      <c r="BL3" s="11" t="n">
        <v>46094</v>
      </c>
      <c r="BM3" s="8" t="s">
        <f>=-Портфель!J23</f>
      </c>
      <c r="BN3" s="0" t="s">
        <v>913</v>
      </c>
      <c r="BO3" s="11" t="n">
        <v>44746</v>
      </c>
      <c r="BP3" s="6" t="n">
        <v>321.31</v>
      </c>
      <c r="BQ3" s="0" t="s">
        <v>912</v>
      </c>
      <c r="BR3" s="11" t="n">
        <v>45541</v>
      </c>
      <c r="BS3" s="6" t="n">
        <v>302.1</v>
      </c>
      <c r="BT3" s="0" t="s">
        <v>912</v>
      </c>
      <c r="BU3" s="11" t="n">
        <v>45584</v>
      </c>
      <c r="BV3" s="6" t="n">
        <v>-24.9</v>
      </c>
      <c r="BW3" s="0" t="s">
        <v>630</v>
      </c>
      <c r="BX3" s="11" t="n">
        <v>44776</v>
      </c>
      <c r="BY3" s="6" t="s">
        <f>=-30.42</f>
      </c>
      <c r="BZ3" s="0" t="s">
        <v>359</v>
      </c>
      <c r="CA3" s="11" t="n">
        <v>44746</v>
      </c>
      <c r="CB3" s="6" t="s">
        <f>=1111.02</f>
      </c>
      <c r="CC3" s="0" t="s">
        <v>912</v>
      </c>
      <c r="CD3" s="11" t="n">
        <v>45266</v>
      </c>
      <c r="CE3" s="6" t="s">
        <f>=-135.33</f>
      </c>
      <c r="CF3" s="0" t="s">
        <v>484</v>
      </c>
      <c r="CG3" s="11" t="n">
        <v>44950</v>
      </c>
      <c r="CH3" s="6" t="s">
        <f>=761.14</f>
      </c>
      <c r="CI3" s="0" t="s">
        <v>912</v>
      </c>
      <c r="CJ3" s="11" t="n">
        <v>45702</v>
      </c>
      <c r="CK3" s="6" t="s">
        <f>=886.67</f>
      </c>
      <c r="CL3" s="0" t="s">
        <v>912</v>
      </c>
      <c r="CM3" s="11" t="n">
        <v>45630</v>
      </c>
      <c r="CN3" s="6" t="s">
        <f>=-68.13</f>
      </c>
      <c r="CO3" s="0" t="s">
        <v>653</v>
      </c>
      <c r="CP3" s="11" t="n">
        <v>44825</v>
      </c>
      <c r="CQ3" s="6" t="s">
        <f>=-29.42</f>
      </c>
      <c r="CR3" s="0" t="s">
        <v>361</v>
      </c>
      <c r="CS3" s="11" t="n">
        <v>44950</v>
      </c>
      <c r="CT3" s="6" t="s">
        <f>=837.75</f>
      </c>
      <c r="CU3" s="0" t="s">
        <v>912</v>
      </c>
      <c r="CV3" s="11" t="n">
        <v>44881</v>
      </c>
      <c r="CW3" s="6" t="s">
        <f>=-68.71</f>
      </c>
      <c r="CX3" s="0" t="s">
        <v>373</v>
      </c>
      <c r="CY3" s="11" t="n">
        <v>44950</v>
      </c>
      <c r="CZ3" s="6" t="s">
        <f>=805.19</f>
      </c>
      <c r="DA3" s="0" t="s">
        <v>912</v>
      </c>
      <c r="DB3" s="11" t="n">
        <v>45623</v>
      </c>
      <c r="DC3" s="6" t="s">
        <f>=-65.78</f>
      </c>
      <c r="DD3" s="0" t="s">
        <v>648</v>
      </c>
      <c r="DE3" s="11" t="n">
        <v>45351</v>
      </c>
      <c r="DF3" s="6" t="s">
        <f>=888.26</f>
      </c>
      <c r="DG3" s="0" t="s">
        <v>912</v>
      </c>
      <c r="DH3" s="11" t="n">
        <v>45714</v>
      </c>
      <c r="DI3" s="6" t="s">
        <f>=855.98</f>
      </c>
      <c r="DJ3" s="0" t="s">
        <v>912</v>
      </c>
      <c r="DK3" s="11" t="n">
        <v>45061</v>
      </c>
      <c r="DL3" s="6" t="s">
        <f>=897.96</f>
      </c>
      <c r="DM3" s="0" t="s">
        <v>912</v>
      </c>
      <c r="DN3" s="11" t="n">
        <v>45021</v>
      </c>
      <c r="DO3" s="6" t="s">
        <f>=-38.39</f>
      </c>
      <c r="DP3" s="0" t="s">
        <v>406</v>
      </c>
      <c r="DQ3" s="11" t="n">
        <v>45351</v>
      </c>
      <c r="DR3" s="6" t="s">
        <f>=983.28</f>
      </c>
      <c r="DS3" s="0" t="s">
        <v>912</v>
      </c>
      <c r="DT3" s="11" t="n">
        <v>45356</v>
      </c>
      <c r="DU3" s="6" t="s">
        <f>=860.33</f>
      </c>
      <c r="DV3" s="0" t="s">
        <v>912</v>
      </c>
      <c r="DW3" s="11" t="n">
        <v>44868</v>
      </c>
      <c r="DX3" s="6" t="s">
        <f>=856.43</f>
      </c>
      <c r="DY3" s="0" t="s">
        <v>912</v>
      </c>
      <c r="DZ3" s="11" t="n">
        <v>45026</v>
      </c>
      <c r="EA3" s="6" t="s">
        <f>=1027.73</f>
      </c>
      <c r="EB3" s="0" t="s">
        <v>912</v>
      </c>
      <c r="EC3" s="11" t="n">
        <v>44950</v>
      </c>
      <c r="ED3" s="6" t="s">
        <f>=1081.49</f>
      </c>
      <c r="EE3" s="0" t="s">
        <v>912</v>
      </c>
      <c r="EF3" s="11" t="n">
        <v>45931</v>
      </c>
      <c r="EG3" s="6" t="s">
        <f>=890.54</f>
      </c>
      <c r="EH3" s="0" t="s">
        <v>912</v>
      </c>
      <c r="EI3" s="11" t="n">
        <v>45959</v>
      </c>
      <c r="EJ3" s="6" t="s">
        <f>=885.1</f>
      </c>
      <c r="EK3" s="0" t="s">
        <v>912</v>
      </c>
      <c r="EL3" s="11" t="n">
        <v>45670</v>
      </c>
      <c r="EM3" s="6" t="s">
        <f>=830.27</f>
      </c>
      <c r="EN3" s="0" t="s">
        <v>912</v>
      </c>
      <c r="EO3" s="11" t="n">
        <v>45504</v>
      </c>
      <c r="EP3" s="6" t="s">
        <f>=-34.41</f>
      </c>
      <c r="EQ3" s="0" t="s">
        <v>593</v>
      </c>
      <c r="ER3" s="11" t="n">
        <v>45014</v>
      </c>
      <c r="ES3" s="6" t="s">
        <f>=-14.58</f>
      </c>
      <c r="ET3" s="0" t="s">
        <v>403</v>
      </c>
      <c r="EU3" s="11" t="n">
        <v>45670</v>
      </c>
      <c r="EV3" s="6" t="s">
        <f>=885.54</f>
      </c>
      <c r="EW3" s="0" t="s">
        <v>912</v>
      </c>
      <c r="EX3" s="11" t="n">
        <v>45447</v>
      </c>
      <c r="EY3" s="6" t="s">
        <f>=822.25</f>
      </c>
      <c r="EZ3" s="0" t="s">
        <v>912</v>
      </c>
      <c r="FA3" s="11" t="n">
        <v>45511</v>
      </c>
      <c r="FB3" s="6" t="s">
        <f>=-37.64</f>
      </c>
      <c r="FC3" s="0" t="s">
        <v>597</v>
      </c>
      <c r="FD3" s="11" t="n">
        <v>46027</v>
      </c>
      <c r="FE3" s="6" t="s">
        <f>=941.71</f>
      </c>
      <c r="FF3" s="0" t="s">
        <v>912</v>
      </c>
      <c r="FG3" s="11" t="n">
        <v>45622</v>
      </c>
      <c r="FH3" s="6" t="s">
        <f>=-24.93</f>
      </c>
      <c r="FI3" s="0" t="s">
        <v>645</v>
      </c>
      <c r="FJ3" s="11" t="n">
        <v>45670</v>
      </c>
      <c r="FK3" s="6" t="s">
        <f>=869.91</f>
      </c>
      <c r="FL3" s="0" t="s">
        <v>912</v>
      </c>
      <c r="FM3" s="11" t="n">
        <v>45813</v>
      </c>
      <c r="FN3" s="6" t="s">
        <f>=1086.88</f>
      </c>
      <c r="FO3" s="0" t="s">
        <v>912</v>
      </c>
      <c r="FP3" s="11" t="n">
        <v>46055</v>
      </c>
      <c r="FQ3" s="6" t="s">
        <f>=1025.51</f>
      </c>
      <c r="FR3" s="0" t="s">
        <v>912</v>
      </c>
      <c r="FS3" s="11" t="n">
        <v>46055</v>
      </c>
      <c r="FT3" s="6" t="s">
        <f>=1028.98</f>
      </c>
      <c r="FU3" s="0" t="s">
        <v>912</v>
      </c>
      <c r="FV3" s="11" t="n">
        <v>46055</v>
      </c>
      <c r="FW3" s="6" t="s">
        <f>=1052.91</f>
      </c>
      <c r="FX3" s="0" t="s">
        <v>912</v>
      </c>
      <c r="FY3" s="11" t="n">
        <v>46055</v>
      </c>
      <c r="FZ3" s="6" t="s">
        <f>=1038.56</f>
      </c>
      <c r="GA3" s="0" t="s">
        <v>912</v>
      </c>
      <c r="GB3" s="11" t="n">
        <v>46055</v>
      </c>
      <c r="GC3" s="6" t="s">
        <f>=1013.41</f>
      </c>
      <c r="GD3" s="0" t="s">
        <v>912</v>
      </c>
      <c r="GE3" s="11" t="n">
        <v>45446</v>
      </c>
      <c r="GF3" s="6" t="s">
        <f>=-19.95</f>
      </c>
      <c r="GG3" s="0" t="s">
        <v>553</v>
      </c>
      <c r="GH3" s="11" t="n">
        <v>45158</v>
      </c>
      <c r="GI3" s="6" t="s">
        <f>=-15</f>
      </c>
      <c r="GJ3" s="0" t="s">
        <v>451</v>
      </c>
      <c r="GK3" s="11" t="n">
        <v>45471</v>
      </c>
      <c r="GL3" s="6" t="s">
        <f>=1016.68</f>
      </c>
      <c r="GM3" s="0" t="s">
        <v>912</v>
      </c>
      <c r="GN3" s="11" t="n">
        <v>46027</v>
      </c>
      <c r="GO3" s="6" t="s">
        <f>=962.57</f>
      </c>
      <c r="GP3" s="0" t="s">
        <v>912</v>
      </c>
      <c r="GQ3" s="11" t="n">
        <v>46027</v>
      </c>
      <c r="GR3" s="6" t="s">
        <f>=965.37</f>
      </c>
      <c r="GS3" s="0" t="s">
        <v>912</v>
      </c>
      <c r="GT3" s="11" t="n">
        <v>45265</v>
      </c>
      <c r="GU3" s="6" t="s">
        <f>=-56.1</f>
      </c>
      <c r="GV3" s="0" t="s">
        <v>482</v>
      </c>
      <c r="GW3" s="11" t="n">
        <v>45677</v>
      </c>
      <c r="GX3" s="6" t="s">
        <f>=-54.35</f>
      </c>
      <c r="GY3" s="0" t="s">
        <v>674</v>
      </c>
      <c r="GZ3" s="11" t="n">
        <v>45762</v>
      </c>
      <c r="HA3" s="6" t="s">
        <f>=-24.93</f>
      </c>
      <c r="HB3" s="0" t="s">
        <v>723</v>
      </c>
      <c r="HC3" s="11" t="n">
        <v>45670</v>
      </c>
      <c r="HD3" s="6" t="s">
        <f>=860.66</f>
      </c>
      <c r="HE3" s="0" t="s">
        <v>912</v>
      </c>
      <c r="HF3" s="11" t="n">
        <v>45670</v>
      </c>
      <c r="HG3" s="6" t="s">
        <f>=799.64</f>
      </c>
      <c r="HH3" s="0" t="s">
        <v>912</v>
      </c>
      <c r="HI3" s="11" t="n">
        <v>45503</v>
      </c>
      <c r="HJ3" s="6" t="s">
        <f>=-29.17</f>
      </c>
      <c r="HK3" s="0" t="s">
        <v>588</v>
      </c>
      <c r="HL3" s="11" t="n">
        <v>45670</v>
      </c>
      <c r="HM3" s="6" t="s">
        <f>=708.97</f>
      </c>
      <c r="HN3" s="0" t="s">
        <v>912</v>
      </c>
      <c r="HO3" s="11" t="n">
        <v>45844</v>
      </c>
      <c r="HP3" s="6" t="s">
        <f>=-3.28</f>
      </c>
      <c r="HQ3" s="0" t="s">
        <v>784</v>
      </c>
      <c r="HR3" s="11" t="n">
        <v>45785</v>
      </c>
      <c r="HS3" s="6" t="s">
        <f>=-19.11</f>
      </c>
      <c r="HT3" s="0" t="s">
        <v>743</v>
      </c>
      <c r="HU3" s="11" t="n">
        <v>45763</v>
      </c>
      <c r="HV3" s="6" t="s">
        <f>=-97.23</f>
      </c>
      <c r="HW3" s="0" t="s">
        <v>724</v>
      </c>
      <c r="HX3" s="11" t="n">
        <v>44993</v>
      </c>
      <c r="HY3" s="6" t="s">
        <f>=-69.51</f>
      </c>
      <c r="HZ3" s="0" t="s">
        <v>397</v>
      </c>
      <c r="IA3" s="11" t="n">
        <v>46075</v>
      </c>
      <c r="IB3" s="6" t="s">
        <f>=-14.79</f>
      </c>
      <c r="IC3" s="0" t="s">
        <v>904</v>
      </c>
      <c r="ID3" s="11" t="n">
        <v>45799</v>
      </c>
      <c r="IE3" s="6" t="s">
        <f>=-20.96</f>
      </c>
      <c r="IF3" s="0" t="s">
        <v>757</v>
      </c>
      <c r="IG3" s="11" t="n">
        <v>46076</v>
      </c>
      <c r="IH3" s="6" t="s">
        <f>=-11.42</f>
      </c>
      <c r="II3" s="0" t="s">
        <v>905</v>
      </c>
      <c r="IJ3" s="11" t="n">
        <v>45806</v>
      </c>
      <c r="IK3" s="6" t="s">
        <f>=-19.48</f>
      </c>
      <c r="IL3" s="0" t="s">
        <v>763</v>
      </c>
      <c r="IM3" s="11" t="n">
        <v>46063</v>
      </c>
      <c r="IN3" s="6" t="s">
        <f>=-11.38</f>
      </c>
      <c r="IO3" s="0" t="s">
        <v>894</v>
      </c>
      <c r="IP3" s="11" t="n">
        <v>45753</v>
      </c>
      <c r="IQ3" s="6" t="s">
        <f>=-18.76</f>
      </c>
      <c r="IR3" s="0" t="s">
        <v>718</v>
      </c>
      <c r="IS3" s="11" t="n">
        <v>44897</v>
      </c>
      <c r="IT3" s="6" t="s">
        <f>=-24.81</f>
      </c>
      <c r="IU3" s="0" t="s">
        <v>379</v>
      </c>
      <c r="IV3" s="11" t="n">
        <v>46074</v>
      </c>
      <c r="IW3" s="6" t="s">
        <f>=-12.66</f>
      </c>
      <c r="IX3" s="0" t="s">
        <v>903</v>
      </c>
      <c r="IY3" s="11" t="n">
        <v>45629</v>
      </c>
      <c r="IZ3" s="6" t="s">
        <f>=-29.17</f>
      </c>
      <c r="JA3" s="0" t="s">
        <v>651</v>
      </c>
      <c r="JB3" s="11" t="n">
        <v>45744</v>
      </c>
      <c r="JC3" s="6" t="s">
        <f>=-52.36</f>
      </c>
      <c r="JD3" s="0" t="s">
        <v>712</v>
      </c>
      <c r="JE3" s="11" t="n">
        <v>45224</v>
      </c>
      <c r="JF3" s="6" t="s">
        <f>=-31.64</f>
      </c>
      <c r="JG3" s="0" t="s">
        <v>472</v>
      </c>
      <c r="JH3" s="11" t="n">
        <v>45006</v>
      </c>
      <c r="JI3" s="6" t="s">
        <f>=-39.39</f>
      </c>
      <c r="JJ3" s="0" t="s">
        <v>399</v>
      </c>
      <c r="JK3" s="11" t="n">
        <v>45372</v>
      </c>
      <c r="JL3" s="6" t="s">
        <f>=-14.54</f>
      </c>
      <c r="JM3" s="0" t="s">
        <v>519</v>
      </c>
      <c r="JN3" s="11" t="n">
        <v>45631</v>
      </c>
      <c r="JO3" s="6" t="s">
        <f>=-35.53</f>
      </c>
      <c r="JP3" s="0" t="s">
        <v>659</v>
      </c>
      <c r="JQ3" s="11" t="n">
        <v>45779</v>
      </c>
      <c r="JR3" s="6" t="s">
        <f>=-59.19</f>
      </c>
      <c r="JS3" s="0" t="s">
        <v>738</v>
      </c>
      <c r="JT3" s="11" t="n">
        <v>45133</v>
      </c>
      <c r="JU3" s="6" t="s">
        <f>=-43.38</f>
      </c>
      <c r="JV3" s="0" t="s">
        <v>439</v>
      </c>
      <c r="JW3" s="11" t="n">
        <v>44957</v>
      </c>
      <c r="JX3" s="6" t="s">
        <f>=-28.22</f>
      </c>
      <c r="JY3" s="0" t="s">
        <v>387</v>
      </c>
      <c r="JZ3" s="11" t="n">
        <v>45231</v>
      </c>
      <c r="KA3" s="6" t="s">
        <f>=-28.73</f>
      </c>
      <c r="KB3" s="0" t="s">
        <v>474</v>
      </c>
      <c r="KC3" s="11" t="n">
        <v>45289</v>
      </c>
      <c r="KD3" s="6" t="s">
        <f>=-65.82</f>
      </c>
      <c r="KE3" s="0" t="s">
        <v>493</v>
      </c>
      <c r="KF3" s="11" t="n">
        <v>45597</v>
      </c>
      <c r="KG3" s="6" t="s">
        <f>=-23.86</f>
      </c>
      <c r="KH3" s="0" t="s">
        <v>637</v>
      </c>
      <c r="KI3" s="11" t="n">
        <v>45855</v>
      </c>
      <c r="KJ3" s="6" t="s">
        <f>=-50.86</f>
      </c>
      <c r="KK3" s="0" t="s">
        <v>795</v>
      </c>
      <c r="KL3" s="11" t="n">
        <v>45581</v>
      </c>
      <c r="KM3" s="6" t="s">
        <f>=-26.18</f>
      </c>
      <c r="KN3" s="0" t="s">
        <v>626</v>
      </c>
      <c r="KO3" s="11" t="n">
        <v>45630</v>
      </c>
      <c r="KP3" s="6" t="s">
        <f>=-56.84</f>
      </c>
      <c r="KQ3" s="0" t="s">
        <v>652</v>
      </c>
      <c r="KR3" s="11" t="n">
        <v>44961</v>
      </c>
      <c r="KS3" s="6" t="s">
        <f>=-61.86</f>
      </c>
      <c r="KT3" s="0" t="s">
        <v>392</v>
      </c>
      <c r="KU3" s="11" t="n">
        <v>45810</v>
      </c>
      <c r="KV3" s="6" t="s">
        <f>=-25.68</f>
      </c>
      <c r="KW3" s="0" t="s">
        <v>766</v>
      </c>
      <c r="KX3" s="11" t="n">
        <v>45762</v>
      </c>
      <c r="KY3" s="6" t="s">
        <f>=-18.84</f>
      </c>
      <c r="KZ3" s="0" t="s">
        <v>722</v>
      </c>
      <c r="LA3" s="11" t="n">
        <v>45630</v>
      </c>
      <c r="LB3" s="6" t="s">
        <f>=-19.55</f>
      </c>
      <c r="LC3" s="0" t="s">
        <v>655</v>
      </c>
      <c r="LD3" s="11" t="n">
        <v>45560</v>
      </c>
      <c r="LE3" s="6" t="s">
        <f>=-11.18</f>
      </c>
      <c r="LF3" s="0" t="s">
        <v>613</v>
      </c>
      <c r="LG3" s="11" t="n">
        <v>45845</v>
      </c>
      <c r="LH3" s="6" t="s">
        <f>=-44.88</f>
      </c>
      <c r="LI3" s="0" t="s">
        <v>785</v>
      </c>
      <c r="LJ3" s="11" t="n">
        <v>44902</v>
      </c>
      <c r="LK3" s="6" t="s">
        <f>=-19.87</f>
      </c>
      <c r="LL3" s="0" t="s">
        <v>381</v>
      </c>
      <c r="LM3" s="11" t="n">
        <v>45071</v>
      </c>
      <c r="LN3" s="6" t="s">
        <f>=-10.83</f>
      </c>
      <c r="LO3" s="0" t="s">
        <v>419</v>
      </c>
      <c r="LP3" s="11" t="n">
        <v>45314</v>
      </c>
      <c r="LQ3" s="6" t="s">
        <f>=-34.28</f>
      </c>
      <c r="LR3" s="0" t="s">
        <v>499</v>
      </c>
    </row>
    <row collapsed="false" customFormat="false" customHeight="false" hidden="false" ht="12.1" outlineLevel="0" r="4">
      <c r="A4" s="11" t="n">
        <v>44984</v>
      </c>
      <c r="B4" s="6" t="n">
        <v>1698.68</v>
      </c>
      <c r="C4" s="0" t="s">
        <v>912</v>
      </c>
      <c r="D4" s="11" t="n">
        <v>45929</v>
      </c>
      <c r="E4" s="6" t="n">
        <v>-160</v>
      </c>
      <c r="F4" s="0" t="s">
        <v>831</v>
      </c>
      <c r="G4" s="11" t="n">
        <v>45772</v>
      </c>
      <c r="H4" s="6" t="n">
        <v>-730</v>
      </c>
      <c r="I4" s="0" t="s">
        <v>731</v>
      </c>
      <c r="J4" s="11" t="n">
        <v>45751</v>
      </c>
      <c r="K4" s="6" t="n">
        <v>3225.65</v>
      </c>
      <c r="L4" s="0" t="s">
        <v>912</v>
      </c>
      <c r="M4" s="11" t="n">
        <v>45057</v>
      </c>
      <c r="N4" s="6" t="n">
        <v>-500</v>
      </c>
      <c r="O4" s="0" t="s">
        <v>414</v>
      </c>
      <c r="P4" s="11" t="n">
        <v>45418</v>
      </c>
      <c r="Q4" s="6" t="n">
        <v>1559.06</v>
      </c>
      <c r="R4" s="0" t="s">
        <v>912</v>
      </c>
      <c r="S4" s="11" t="n">
        <v>45457</v>
      </c>
      <c r="T4" s="6" t="n">
        <v>-173.5</v>
      </c>
      <c r="U4" s="0" t="s">
        <v>562</v>
      </c>
      <c r="V4" s="11" t="n">
        <v>44936</v>
      </c>
      <c r="W4" s="6" t="n">
        <v>-6.86</v>
      </c>
      <c r="X4" s="0" t="s">
        <v>385</v>
      </c>
      <c r="Y4" s="11" t="n">
        <v>45026</v>
      </c>
      <c r="Z4" s="6" t="n">
        <v>770.2</v>
      </c>
      <c r="AA4" s="0" t="s">
        <v>912</v>
      </c>
      <c r="AB4" s="11" t="n">
        <v>45597</v>
      </c>
      <c r="AC4" s="6" t="n">
        <v>1836.99</v>
      </c>
      <c r="AD4" s="0" t="s">
        <v>912</v>
      </c>
      <c r="AE4" s="11" t="n">
        <v>45356</v>
      </c>
      <c r="AF4" s="6" t="n">
        <v>1789.95</v>
      </c>
      <c r="AG4" s="0" t="s">
        <v>912</v>
      </c>
      <c r="AH4" s="11" t="n">
        <v>45026</v>
      </c>
      <c r="AI4" s="6" t="n">
        <v>568.55</v>
      </c>
      <c r="AJ4" s="0" t="s">
        <v>912</v>
      </c>
      <c r="AK4" s="11" t="n">
        <v>45491</v>
      </c>
      <c r="AL4" s="6" t="n">
        <v>-1229</v>
      </c>
      <c r="AM4" s="0" t="s">
        <v>578</v>
      </c>
      <c r="AN4" s="11" t="n">
        <v>45936</v>
      </c>
      <c r="AO4" s="6" t="n">
        <v>-166.1</v>
      </c>
      <c r="AP4" s="0" t="s">
        <v>837</v>
      </c>
      <c r="AQ4" s="11" t="n">
        <v>45219</v>
      </c>
      <c r="AR4" s="6" t="n">
        <v>406.72</v>
      </c>
      <c r="AS4" s="0" t="s">
        <v>912</v>
      </c>
      <c r="AT4" s="11" t="n">
        <v>45261</v>
      </c>
      <c r="AU4" s="6" t="n">
        <v>-108.93</v>
      </c>
      <c r="AV4" s="0" t="s">
        <v>481</v>
      </c>
      <c r="AW4" s="11" t="n">
        <v>46078</v>
      </c>
      <c r="AX4" s="8" t="s">
        <f>=-Портфель!J18</f>
      </c>
      <c r="AY4" s="0" t="s">
        <v>913</v>
      </c>
      <c r="AZ4" s="11" t="n">
        <v>45490</v>
      </c>
      <c r="BA4" s="6" t="n">
        <v>-52</v>
      </c>
      <c r="BB4" s="0" t="s">
        <v>576</v>
      </c>
      <c r="BC4" s="11" t="n">
        <v>45324</v>
      </c>
      <c r="BD4" s="6" t="n">
        <v>783.04</v>
      </c>
      <c r="BE4" s="0" t="s">
        <v>912</v>
      </c>
      <c r="BF4" s="11" t="n">
        <v>45491</v>
      </c>
      <c r="BG4" s="6" t="n">
        <v>-85</v>
      </c>
      <c r="BH4" s="0" t="s">
        <v>577</v>
      </c>
      <c r="BI4" s="11" t="n">
        <v>45049</v>
      </c>
      <c r="BJ4" s="6" t="n">
        <v>-60.58</v>
      </c>
      <c r="BK4" s="0" t="s">
        <v>412</v>
      </c>
      <c r="BL4" s="0"/>
      <c r="BM4" s="10" t="s">
        <f>=XIRR(BM2:BM3,BL2:BL3)</f>
      </c>
      <c r="BN4" s="0"/>
      <c r="BO4" s="11" t="n">
        <v>44776</v>
      </c>
      <c r="BP4" s="6" t="n">
        <v>243.43</v>
      </c>
      <c r="BQ4" s="0" t="s">
        <v>912</v>
      </c>
      <c r="BR4" s="11" t="n">
        <v>46078</v>
      </c>
      <c r="BS4" s="8" t="s">
        <f>=-Портфель!J25</f>
      </c>
      <c r="BT4" s="0" t="s">
        <v>913</v>
      </c>
      <c r="BU4" s="11" t="n">
        <v>46078</v>
      </c>
      <c r="BV4" s="8" t="s">
        <f>=-Портфель!J26</f>
      </c>
      <c r="BW4" s="0" t="s">
        <v>913</v>
      </c>
      <c r="BX4" s="11" t="n">
        <v>44868</v>
      </c>
      <c r="BY4" s="6" t="s">
        <f>=742.71</f>
      </c>
      <c r="BZ4" s="0" t="s">
        <v>912</v>
      </c>
      <c r="CA4" s="11" t="n">
        <v>44916</v>
      </c>
      <c r="CB4" s="6" t="s">
        <f>=-145.9</f>
      </c>
      <c r="CC4" s="0" t="s">
        <v>383</v>
      </c>
      <c r="CD4" s="11" t="n">
        <v>45303</v>
      </c>
      <c r="CE4" s="6" t="s">
        <f>=1742.59</f>
      </c>
      <c r="CF4" s="0" t="s">
        <v>912</v>
      </c>
      <c r="CG4" s="11" t="n">
        <v>45006</v>
      </c>
      <c r="CH4" s="6" t="s">
        <f>=756.65</f>
      </c>
      <c r="CI4" s="0" t="s">
        <v>912</v>
      </c>
      <c r="CJ4" s="11" t="n">
        <v>45714</v>
      </c>
      <c r="CK4" s="6" t="s">
        <f>=858.07</f>
      </c>
      <c r="CL4" s="0" t="s">
        <v>912</v>
      </c>
      <c r="CM4" s="11" t="n">
        <v>45702</v>
      </c>
      <c r="CN4" s="6" t="s">
        <f>=856.46</f>
      </c>
      <c r="CO4" s="0" t="s">
        <v>912</v>
      </c>
      <c r="CP4" s="11" t="n">
        <v>44868</v>
      </c>
      <c r="CQ4" s="6" t="s">
        <f>=790.02</f>
      </c>
      <c r="CR4" s="0" t="s">
        <v>912</v>
      </c>
      <c r="CS4" s="11" t="n">
        <v>45006</v>
      </c>
      <c r="CT4" s="6" t="s">
        <f>=831.77</f>
      </c>
      <c r="CU4" s="0" t="s">
        <v>912</v>
      </c>
      <c r="CV4" s="11" t="n">
        <v>44903</v>
      </c>
      <c r="CW4" s="6" t="s">
        <f>=1057.94</f>
      </c>
      <c r="CX4" s="0" t="s">
        <v>912</v>
      </c>
      <c r="CY4" s="11" t="n">
        <v>44972</v>
      </c>
      <c r="CZ4" s="6" t="s">
        <f>=-69.8</f>
      </c>
      <c r="DA4" s="0" t="s">
        <v>394</v>
      </c>
      <c r="DB4" s="11" t="n">
        <v>45702</v>
      </c>
      <c r="DC4" s="6" t="s">
        <f>=864.43</f>
      </c>
      <c r="DD4" s="0" t="s">
        <v>912</v>
      </c>
      <c r="DE4" s="11" t="n">
        <v>45356</v>
      </c>
      <c r="DF4" s="6" t="s">
        <f>=882.57</f>
      </c>
      <c r="DG4" s="0" t="s">
        <v>912</v>
      </c>
      <c r="DH4" s="11" t="n">
        <v>45714</v>
      </c>
      <c r="DI4" s="6" t="s">
        <f>=855.98</f>
      </c>
      <c r="DJ4" s="0" t="s">
        <v>912</v>
      </c>
      <c r="DK4" s="11" t="n">
        <v>45217</v>
      </c>
      <c r="DL4" s="6" t="s">
        <f>=-76.3</f>
      </c>
      <c r="DM4" s="0" t="s">
        <v>468</v>
      </c>
      <c r="DN4" s="11" t="n">
        <v>45203</v>
      </c>
      <c r="DO4" s="6" t="s">
        <f>=-38.39</f>
      </c>
      <c r="DP4" s="0" t="s">
        <v>406</v>
      </c>
      <c r="DQ4" s="11" t="n">
        <v>45356</v>
      </c>
      <c r="DR4" s="6" t="s">
        <f>=975.29</f>
      </c>
      <c r="DS4" s="0" t="s">
        <v>912</v>
      </c>
      <c r="DT4" s="11" t="n">
        <v>45378</v>
      </c>
      <c r="DU4" s="6" t="s">
        <f>=-84.76</f>
      </c>
      <c r="DV4" s="0" t="s">
        <v>526</v>
      </c>
      <c r="DW4" s="11" t="n">
        <v>44888</v>
      </c>
      <c r="DX4" s="6" t="s">
        <f>=-72.3</f>
      </c>
      <c r="DY4" s="0" t="s">
        <v>376</v>
      </c>
      <c r="DZ4" s="11" t="n">
        <v>45114</v>
      </c>
      <c r="EA4" s="6" t="s">
        <f>=1988.71</f>
      </c>
      <c r="EB4" s="0" t="s">
        <v>912</v>
      </c>
      <c r="EC4" s="11" t="n">
        <v>45028</v>
      </c>
      <c r="ED4" s="6" t="s">
        <f>=-116.68</f>
      </c>
      <c r="EE4" s="0" t="s">
        <v>409</v>
      </c>
      <c r="EF4" s="11" t="n">
        <v>45959</v>
      </c>
      <c r="EG4" s="6" t="s">
        <f>=899.29</f>
      </c>
      <c r="EH4" s="0" t="s">
        <v>912</v>
      </c>
      <c r="EI4" s="11" t="n">
        <v>45959</v>
      </c>
      <c r="EJ4" s="6" t="s">
        <f>=885.2</f>
      </c>
      <c r="EK4" s="0" t="s">
        <v>912</v>
      </c>
      <c r="EL4" s="11" t="n">
        <v>45670</v>
      </c>
      <c r="EM4" s="6" t="s">
        <f>=829.97</f>
      </c>
      <c r="EN4" s="0" t="s">
        <v>912</v>
      </c>
      <c r="EO4" s="11" t="n">
        <v>45506</v>
      </c>
      <c r="EP4" s="6" t="s">
        <f>=646.87</f>
      </c>
      <c r="EQ4" s="0" t="s">
        <v>912</v>
      </c>
      <c r="ER4" s="11" t="n">
        <v>45026</v>
      </c>
      <c r="ES4" s="6" t="s">
        <f>=1141.72</f>
      </c>
      <c r="ET4" s="0" t="s">
        <v>912</v>
      </c>
      <c r="EU4" s="11" t="n">
        <v>45670</v>
      </c>
      <c r="EV4" s="6" t="s">
        <f>=885.54</f>
      </c>
      <c r="EW4" s="0" t="s">
        <v>912</v>
      </c>
      <c r="EX4" s="11" t="n">
        <v>45447</v>
      </c>
      <c r="EY4" s="6" t="s">
        <f>=819.83</f>
      </c>
      <c r="EZ4" s="0" t="s">
        <v>912</v>
      </c>
      <c r="FA4" s="11" t="n">
        <v>45693</v>
      </c>
      <c r="FB4" s="6" t="s">
        <f>=-39.16</f>
      </c>
      <c r="FC4" s="0" t="s">
        <v>689</v>
      </c>
      <c r="FD4" s="11" t="n">
        <v>46027</v>
      </c>
      <c r="FE4" s="6" t="s">
        <f>=941.67</f>
      </c>
      <c r="FF4" s="0" t="s">
        <v>912</v>
      </c>
      <c r="FG4" s="11" t="n">
        <v>45670</v>
      </c>
      <c r="FH4" s="6" t="s">
        <f>=809</f>
      </c>
      <c r="FI4" s="0" t="s">
        <v>912</v>
      </c>
      <c r="FJ4" s="11" t="n">
        <v>45709</v>
      </c>
      <c r="FK4" s="6" t="s">
        <f>=-89.76</f>
      </c>
      <c r="FL4" s="0" t="s">
        <v>693</v>
      </c>
      <c r="FM4" s="11" t="n">
        <v>45855</v>
      </c>
      <c r="FN4" s="6" t="s">
        <f>=-86.26</f>
      </c>
      <c r="FO4" s="0" t="s">
        <v>798</v>
      </c>
      <c r="FP4" s="11" t="n">
        <v>46420</v>
      </c>
      <c r="FQ4" s="8" t="s">
        <f>=-Портфель!J60</f>
      </c>
      <c r="FR4" s="0" t="s">
        <v>913</v>
      </c>
      <c r="FS4" s="11" t="n">
        <v>46077</v>
      </c>
      <c r="FT4" s="6" t="s">
        <f>=-27.36</f>
      </c>
      <c r="FU4" s="0" t="s">
        <v>906</v>
      </c>
      <c r="FV4" s="11" t="n">
        <v>46072</v>
      </c>
      <c r="FW4" s="6" t="s">
        <f>=-79.74</f>
      </c>
      <c r="FX4" s="0" t="s">
        <v>899</v>
      </c>
      <c r="FY4" s="11" t="n">
        <v>46073</v>
      </c>
      <c r="FZ4" s="6" t="s">
        <f>=-27.54</f>
      </c>
      <c r="GA4" s="0" t="s">
        <v>901</v>
      </c>
      <c r="GB4" s="11" t="n">
        <v>46420</v>
      </c>
      <c r="GC4" s="8" t="s">
        <f>=-Портфель!J64</f>
      </c>
      <c r="GD4" s="0" t="s">
        <v>913</v>
      </c>
      <c r="GE4" s="11" t="n">
        <v>45471</v>
      </c>
      <c r="GF4" s="6" t="s">
        <f>=825.99</f>
      </c>
      <c r="GG4" s="0" t="s">
        <v>912</v>
      </c>
      <c r="GH4" s="11" t="n">
        <v>45189</v>
      </c>
      <c r="GI4" s="6" t="s">
        <f>=-16.48</f>
      </c>
      <c r="GJ4" s="0" t="s">
        <v>456</v>
      </c>
      <c r="GK4" s="11" t="n">
        <v>45502</v>
      </c>
      <c r="GL4" s="6" t="s">
        <f>=-28.1</f>
      </c>
      <c r="GM4" s="0" t="s">
        <v>586</v>
      </c>
      <c r="GN4" s="11" t="n">
        <v>46392</v>
      </c>
      <c r="GO4" s="8" t="s">
        <f>=-Портфель!J68</f>
      </c>
      <c r="GP4" s="0" t="s">
        <v>913</v>
      </c>
      <c r="GQ4" s="11" t="n">
        <v>46392</v>
      </c>
      <c r="GR4" s="8" t="s">
        <f>=-Портфель!J69</f>
      </c>
      <c r="GS4" s="0" t="s">
        <v>913</v>
      </c>
      <c r="GT4" s="11" t="n">
        <v>45447</v>
      </c>
      <c r="GU4" s="6" t="s">
        <f>=-56.1</f>
      </c>
      <c r="GV4" s="0" t="s">
        <v>482</v>
      </c>
      <c r="GW4" s="11" t="n">
        <v>45776</v>
      </c>
      <c r="GX4" s="6" t="s">
        <f>=821.33</f>
      </c>
      <c r="GY4" s="0" t="s">
        <v>912</v>
      </c>
      <c r="GZ4" s="11" t="n">
        <v>45776</v>
      </c>
      <c r="HA4" s="6" t="s">
        <f>=784.54</f>
      </c>
      <c r="HB4" s="0" t="s">
        <v>912</v>
      </c>
      <c r="HC4" s="11" t="n">
        <v>45740</v>
      </c>
      <c r="HD4" s="6" t="s">
        <f>=-90.76</f>
      </c>
      <c r="HE4" s="0" t="s">
        <v>704</v>
      </c>
      <c r="HF4" s="11" t="n">
        <v>45786</v>
      </c>
      <c r="HG4" s="6" t="s">
        <f>=-90.76</f>
      </c>
      <c r="HH4" s="0" t="s">
        <v>744</v>
      </c>
      <c r="HI4" s="11" t="n">
        <v>45541</v>
      </c>
      <c r="HJ4" s="6" t="s">
        <f>=860.88</f>
      </c>
      <c r="HK4" s="0" t="s">
        <v>912</v>
      </c>
      <c r="HL4" s="11" t="n">
        <v>45730</v>
      </c>
      <c r="HM4" s="6" t="s">
        <f>=-35.66</f>
      </c>
      <c r="HN4" s="0" t="s">
        <v>701</v>
      </c>
      <c r="HO4" s="11" t="n">
        <v>45874</v>
      </c>
      <c r="HP4" s="6" t="s">
        <f>=-3.28</f>
      </c>
      <c r="HQ4" s="0" t="s">
        <v>784</v>
      </c>
      <c r="HR4" s="11" t="n">
        <v>45815</v>
      </c>
      <c r="HS4" s="6" t="s">
        <f>=-19.11</f>
      </c>
      <c r="HT4" s="0" t="s">
        <v>743</v>
      </c>
      <c r="HU4" s="11" t="n">
        <v>45945</v>
      </c>
      <c r="HV4" s="6" t="s">
        <f>=-97.23</f>
      </c>
      <c r="HW4" s="0" t="s">
        <v>724</v>
      </c>
      <c r="HX4" s="11" t="n">
        <v>45175</v>
      </c>
      <c r="HY4" s="6" t="s">
        <f>=-43.33</f>
      </c>
      <c r="HZ4" s="0" t="s">
        <v>455</v>
      </c>
      <c r="IA4" s="11" t="n">
        <v>46420</v>
      </c>
      <c r="IB4" s="8" t="s">
        <f>=-Портфель!J81</f>
      </c>
      <c r="IC4" s="0" t="s">
        <v>913</v>
      </c>
      <c r="ID4" s="11" t="n">
        <v>45829</v>
      </c>
      <c r="IE4" s="6" t="s">
        <f>=-20.96</f>
      </c>
      <c r="IF4" s="0" t="s">
        <v>757</v>
      </c>
      <c r="IG4" s="11" t="n">
        <v>46420</v>
      </c>
      <c r="IH4" s="8" t="s">
        <f>=-Портфель!J83</f>
      </c>
      <c r="II4" s="0" t="s">
        <v>913</v>
      </c>
      <c r="IJ4" s="11" t="n">
        <v>45836</v>
      </c>
      <c r="IK4" s="6" t="s">
        <f>=-19.48</f>
      </c>
      <c r="IL4" s="0" t="s">
        <v>763</v>
      </c>
      <c r="IM4" s="11" t="n">
        <v>46420</v>
      </c>
      <c r="IN4" s="8" t="s">
        <f>=-Портфель!J85</f>
      </c>
      <c r="IO4" s="0" t="s">
        <v>913</v>
      </c>
      <c r="IP4" s="11" t="n">
        <v>45784</v>
      </c>
      <c r="IQ4" s="6" t="s">
        <f>=-19.24</f>
      </c>
      <c r="IR4" s="0" t="s">
        <v>742</v>
      </c>
      <c r="IS4" s="11" t="n">
        <v>44988</v>
      </c>
      <c r="IT4" s="6" t="s">
        <f>=-24.81</f>
      </c>
      <c r="IU4" s="0" t="s">
        <v>379</v>
      </c>
      <c r="IV4" s="11" t="n">
        <v>46420</v>
      </c>
      <c r="IW4" s="8" t="s">
        <f>=-Портфель!J88</f>
      </c>
      <c r="IX4" s="0" t="s">
        <v>913</v>
      </c>
      <c r="IY4" s="11" t="n">
        <v>45720</v>
      </c>
      <c r="IZ4" s="6" t="s">
        <f>=-29.17</f>
      </c>
      <c r="JA4" s="0" t="s">
        <v>651</v>
      </c>
      <c r="JB4" s="11" t="n">
        <v>45926</v>
      </c>
      <c r="JC4" s="6" t="s">
        <f>=-52.36</f>
      </c>
      <c r="JD4" s="0" t="s">
        <v>712</v>
      </c>
      <c r="JE4" s="11" t="n">
        <v>45315</v>
      </c>
      <c r="JF4" s="6" t="s">
        <f>=-40.7</f>
      </c>
      <c r="JG4" s="0" t="s">
        <v>500</v>
      </c>
      <c r="JH4" s="11" t="n">
        <v>45188</v>
      </c>
      <c r="JI4" s="6" t="s">
        <f>=-39.39</f>
      </c>
      <c r="JJ4" s="0" t="s">
        <v>399</v>
      </c>
      <c r="JK4" s="11" t="n">
        <v>45403</v>
      </c>
      <c r="JL4" s="6" t="s">
        <f>=-14.43</f>
      </c>
      <c r="JM4" s="0" t="s">
        <v>534</v>
      </c>
      <c r="JN4" s="11" t="n">
        <v>45722</v>
      </c>
      <c r="JO4" s="6" t="s">
        <f>=-35.53</f>
      </c>
      <c r="JP4" s="0" t="s">
        <v>659</v>
      </c>
      <c r="JQ4" s="11" t="n">
        <v>45961</v>
      </c>
      <c r="JR4" s="6" t="s">
        <f>=-59.19</f>
      </c>
      <c r="JS4" s="0" t="s">
        <v>738</v>
      </c>
      <c r="JT4" s="11" t="n">
        <v>45315</v>
      </c>
      <c r="JU4" s="6" t="s">
        <f>=-43.38</f>
      </c>
      <c r="JV4" s="0" t="s">
        <v>439</v>
      </c>
      <c r="JW4" s="11" t="n">
        <v>45048</v>
      </c>
      <c r="JX4" s="6" t="s">
        <f>=-28.22</f>
      </c>
      <c r="JY4" s="0" t="s">
        <v>387</v>
      </c>
      <c r="JZ4" s="11" t="n">
        <v>45322</v>
      </c>
      <c r="KA4" s="6" t="s">
        <f>=-37.33</f>
      </c>
      <c r="KB4" s="0" t="s">
        <v>505</v>
      </c>
      <c r="KC4" s="11" t="n">
        <v>45470</v>
      </c>
      <c r="KD4" s="6" t="s">
        <f>=-400</f>
      </c>
      <c r="KE4" s="0" t="s">
        <v>569</v>
      </c>
      <c r="KF4" s="11" t="n">
        <v>45688</v>
      </c>
      <c r="KG4" s="6" t="s">
        <f>=-23.86</f>
      </c>
      <c r="KH4" s="0" t="s">
        <v>637</v>
      </c>
      <c r="KI4" s="11" t="n">
        <v>46037</v>
      </c>
      <c r="KJ4" s="6" t="s">
        <f>=-50.86</f>
      </c>
      <c r="KK4" s="0" t="s">
        <v>795</v>
      </c>
      <c r="KL4" s="11" t="n">
        <v>45672</v>
      </c>
      <c r="KM4" s="6" t="s">
        <f>=-26.18</f>
      </c>
      <c r="KN4" s="0" t="s">
        <v>626</v>
      </c>
      <c r="KO4" s="11" t="n">
        <v>45812</v>
      </c>
      <c r="KP4" s="6" t="s">
        <f>=-56.84</f>
      </c>
      <c r="KQ4" s="0" t="s">
        <v>652</v>
      </c>
      <c r="KR4" s="11" t="n">
        <v>45143</v>
      </c>
      <c r="KS4" s="6" t="s">
        <f>=-53.1</f>
      </c>
      <c r="KT4" s="0" t="s">
        <v>448</v>
      </c>
      <c r="KU4" s="11" t="n">
        <v>45901</v>
      </c>
      <c r="KV4" s="6" t="s">
        <f>=-25.68</f>
      </c>
      <c r="KW4" s="0" t="s">
        <v>766</v>
      </c>
      <c r="KX4" s="11" t="n">
        <v>45793</v>
      </c>
      <c r="KY4" s="6" t="s">
        <f>=-19.21</f>
      </c>
      <c r="KZ4" s="0" t="s">
        <v>751</v>
      </c>
      <c r="LA4" s="11" t="n">
        <v>45721</v>
      </c>
      <c r="LB4" s="6" t="s">
        <f>=-19.55</f>
      </c>
      <c r="LC4" s="0" t="s">
        <v>655</v>
      </c>
      <c r="LD4" s="11" t="n">
        <v>45590</v>
      </c>
      <c r="LE4" s="6" t="s">
        <f>=-11.18</f>
      </c>
      <c r="LF4" s="0" t="s">
        <v>613</v>
      </c>
      <c r="LG4" s="11" t="n">
        <v>46027</v>
      </c>
      <c r="LH4" s="6" t="s">
        <f>=-44.88</f>
      </c>
      <c r="LI4" s="0" t="s">
        <v>785</v>
      </c>
      <c r="LJ4" s="11" t="n">
        <v>44993</v>
      </c>
      <c r="LK4" s="6" t="s">
        <f>=-19.87</f>
      </c>
      <c r="LL4" s="0" t="s">
        <v>381</v>
      </c>
      <c r="LM4" s="11" t="n">
        <v>45162</v>
      </c>
      <c r="LN4" s="6" t="s">
        <f>=-10.83</f>
      </c>
      <c r="LO4" s="0" t="s">
        <v>419</v>
      </c>
      <c r="LP4" s="11" t="n">
        <v>45405</v>
      </c>
      <c r="LQ4" s="6" t="s">
        <f>=-34.28</f>
      </c>
      <c r="LR4" s="0" t="s">
        <v>499</v>
      </c>
    </row>
    <row collapsed="false" customFormat="false" customHeight="false" hidden="false" ht="12.1" outlineLevel="0" r="5">
      <c r="A5" s="11" t="n">
        <v>45056</v>
      </c>
      <c r="B5" s="6" t="n">
        <v>2223.55</v>
      </c>
      <c r="C5" s="0" t="s">
        <v>912</v>
      </c>
      <c r="D5" s="11" t="n">
        <v>45988</v>
      </c>
      <c r="E5" s="6" t="n">
        <v>16677.88</v>
      </c>
      <c r="F5" s="0" t="s">
        <v>912</v>
      </c>
      <c r="G5" s="11" t="n">
        <v>45943</v>
      </c>
      <c r="H5" s="6" t="n">
        <v>-708.5</v>
      </c>
      <c r="I5" s="0" t="s">
        <v>841</v>
      </c>
      <c r="J5" s="11" t="n">
        <v>45776</v>
      </c>
      <c r="K5" s="6" t="n">
        <v>3286.23</v>
      </c>
      <c r="L5" s="0" t="s">
        <v>912</v>
      </c>
      <c r="M5" s="11" t="n">
        <v>45418</v>
      </c>
      <c r="N5" s="6" t="n">
        <v>3078.31</v>
      </c>
      <c r="O5" s="0" t="s">
        <v>912</v>
      </c>
      <c r="P5" s="11" t="n">
        <v>45418</v>
      </c>
      <c r="Q5" s="6" t="n">
        <v>1558.76</v>
      </c>
      <c r="R5" s="0" t="s">
        <v>912</v>
      </c>
      <c r="S5" s="11" t="n">
        <v>45506</v>
      </c>
      <c r="T5" s="6" t="n">
        <v>2293.66</v>
      </c>
      <c r="U5" s="0" t="s">
        <v>912</v>
      </c>
      <c r="V5" s="11" t="n">
        <v>45118</v>
      </c>
      <c r="W5" s="6" t="n">
        <v>-27.71</v>
      </c>
      <c r="X5" s="0" t="s">
        <v>434</v>
      </c>
      <c r="Y5" s="11" t="n">
        <v>45076</v>
      </c>
      <c r="Z5" s="6" t="n">
        <v>-113.4621272076</v>
      </c>
      <c r="AA5" s="0" t="s">
        <v>423</v>
      </c>
      <c r="AB5" s="11" t="n">
        <v>45845</v>
      </c>
      <c r="AC5" s="6" t="n">
        <v>-700</v>
      </c>
      <c r="AD5" s="0" t="s">
        <v>786</v>
      </c>
      <c r="AE5" s="11" t="n">
        <v>45418</v>
      </c>
      <c r="AF5" s="6" t="n">
        <v>1674.81</v>
      </c>
      <c r="AG5" s="0" t="s">
        <v>912</v>
      </c>
      <c r="AH5" s="11" t="n">
        <v>45198</v>
      </c>
      <c r="AI5" s="6" t="n">
        <v>258.07</v>
      </c>
      <c r="AJ5" s="0" t="s">
        <v>912</v>
      </c>
      <c r="AK5" s="11" t="n">
        <v>45855</v>
      </c>
      <c r="AL5" s="6" t="n">
        <v>-850</v>
      </c>
      <c r="AM5" s="0" t="s">
        <v>794</v>
      </c>
      <c r="AN5" s="11" t="n">
        <v>46078</v>
      </c>
      <c r="AO5" s="8" t="s">
        <f>=-Портфель!J15</f>
      </c>
      <c r="AP5" s="0" t="s">
        <v>913</v>
      </c>
      <c r="AQ5" s="11" t="n">
        <v>45356</v>
      </c>
      <c r="AR5" s="6" t="n">
        <v>403.41</v>
      </c>
      <c r="AS5" s="0" t="s">
        <v>912</v>
      </c>
      <c r="AT5" s="11" t="n">
        <v>45324</v>
      </c>
      <c r="AU5" s="6" t="n">
        <v>765.49</v>
      </c>
      <c r="AV5" s="0" t="s">
        <v>912</v>
      </c>
      <c r="AW5" s="0"/>
      <c r="AX5" s="10" t="s">
        <f>=XIRR(AX2:AX4,AW2:AW4)</f>
      </c>
      <c r="AY5" s="0"/>
      <c r="AZ5" s="11" t="n">
        <v>45541</v>
      </c>
      <c r="BA5" s="6" t="n">
        <v>1612.72</v>
      </c>
      <c r="BB5" s="0" t="s">
        <v>912</v>
      </c>
      <c r="BC5" s="11" t="n">
        <v>45597</v>
      </c>
      <c r="BD5" s="6" t="n">
        <v>586.96</v>
      </c>
      <c r="BE5" s="0" t="s">
        <v>912</v>
      </c>
      <c r="BF5" s="11" t="n">
        <v>45855</v>
      </c>
      <c r="BG5" s="6" t="n">
        <v>-90</v>
      </c>
      <c r="BH5" s="0" t="s">
        <v>793</v>
      </c>
      <c r="BI5" s="11" t="n">
        <v>45209</v>
      </c>
      <c r="BJ5" s="6" t="n">
        <v>-34.5</v>
      </c>
      <c r="BK5" s="0" t="s">
        <v>465</v>
      </c>
      <c r="BL5" s="0"/>
      <c r="BM5" s="8" t="s">
        <f>=-SUM(BM2:BM3)</f>
      </c>
      <c r="BN5" s="0" t="s">
        <v>914</v>
      </c>
      <c r="BO5" s="11" t="n">
        <v>45453</v>
      </c>
      <c r="BP5" s="6" t="n">
        <v>-82.56</v>
      </c>
      <c r="BQ5" s="0" t="s">
        <v>560</v>
      </c>
      <c r="BR5" s="0"/>
      <c r="BS5" s="10" t="s">
        <f>=XIRR(BS2:BS4,BR2:BR4)</f>
      </c>
      <c r="BT5" s="0"/>
      <c r="BU5" s="0"/>
      <c r="BV5" s="10" t="s">
        <f>=XIRR(BV2:BV4,BU2:BU4)</f>
      </c>
      <c r="BW5" s="0"/>
      <c r="BX5" s="11" t="n">
        <v>44958</v>
      </c>
      <c r="BY5" s="6" t="s">
        <f>=-60.84</f>
      </c>
      <c r="BZ5" s="0" t="s">
        <v>389</v>
      </c>
      <c r="CA5" s="11" t="n">
        <v>44929</v>
      </c>
      <c r="CB5" s="6" t="s">
        <f>=1051.78</f>
      </c>
      <c r="CC5" s="0" t="s">
        <v>912</v>
      </c>
      <c r="CD5" s="11" t="n">
        <v>45351</v>
      </c>
      <c r="CE5" s="6" t="s">
        <f>=855.56</f>
      </c>
      <c r="CF5" s="0" t="s">
        <v>912</v>
      </c>
      <c r="CG5" s="11" t="n">
        <v>45075</v>
      </c>
      <c r="CH5" s="6" t="s">
        <f>=763.02</f>
      </c>
      <c r="CI5" s="0" t="s">
        <v>912</v>
      </c>
      <c r="CJ5" s="11" t="n">
        <v>45714</v>
      </c>
      <c r="CK5" s="6" t="s">
        <f>=858.07</f>
      </c>
      <c r="CL5" s="0" t="s">
        <v>912</v>
      </c>
      <c r="CM5" s="11" t="n">
        <v>45702</v>
      </c>
      <c r="CN5" s="6" t="s">
        <f>=857.05</f>
      </c>
      <c r="CO5" s="0" t="s">
        <v>912</v>
      </c>
      <c r="CP5" s="11" t="n">
        <v>45006</v>
      </c>
      <c r="CQ5" s="6" t="s">
        <f>=779.81</f>
      </c>
      <c r="CR5" s="0" t="s">
        <v>912</v>
      </c>
      <c r="CS5" s="11" t="n">
        <v>45021</v>
      </c>
      <c r="CT5" s="6" t="s">
        <f>=-115.17</f>
      </c>
      <c r="CU5" s="0" t="s">
        <v>405</v>
      </c>
      <c r="CV5" s="11" t="n">
        <v>44950</v>
      </c>
      <c r="CW5" s="6" t="s">
        <f>=1068.42</f>
      </c>
      <c r="CX5" s="0" t="s">
        <v>912</v>
      </c>
      <c r="CY5" s="11" t="n">
        <v>45006</v>
      </c>
      <c r="CZ5" s="6" t="s">
        <f>=763.22</f>
      </c>
      <c r="DA5" s="0" t="s">
        <v>912</v>
      </c>
      <c r="DB5" s="11" t="n">
        <v>45714</v>
      </c>
      <c r="DC5" s="6" t="s">
        <f>=829.06</f>
      </c>
      <c r="DD5" s="0" t="s">
        <v>912</v>
      </c>
      <c r="DE5" s="11" t="n">
        <v>45387</v>
      </c>
      <c r="DF5" s="6" t="s">
        <f>=852.04</f>
      </c>
      <c r="DG5" s="0" t="s">
        <v>912</v>
      </c>
      <c r="DH5" s="11" t="n">
        <v>45756</v>
      </c>
      <c r="DI5" s="6" t="s">
        <f>=-179.52</f>
      </c>
      <c r="DJ5" s="0" t="s">
        <v>719</v>
      </c>
      <c r="DK5" s="11" t="n">
        <v>45240</v>
      </c>
      <c r="DL5" s="6" t="s">
        <f>=843.84</f>
      </c>
      <c r="DM5" s="0" t="s">
        <v>912</v>
      </c>
      <c r="DN5" s="11" t="n">
        <v>45240</v>
      </c>
      <c r="DO5" s="6" t="s">
        <f>=805.83</f>
      </c>
      <c r="DP5" s="0" t="s">
        <v>912</v>
      </c>
      <c r="DQ5" s="11" t="n">
        <v>45378</v>
      </c>
      <c r="DR5" s="6" t="s">
        <f>=-189.88</f>
      </c>
      <c r="DS5" s="0" t="s">
        <v>525</v>
      </c>
      <c r="DT5" s="11" t="n">
        <v>45447</v>
      </c>
      <c r="DU5" s="6" t="s">
        <f>=750.19</f>
      </c>
      <c r="DV5" s="0" t="s">
        <v>912</v>
      </c>
      <c r="DW5" s="11" t="n">
        <v>45006</v>
      </c>
      <c r="DX5" s="6" t="s">
        <f>=823.33</f>
      </c>
      <c r="DY5" s="0" t="s">
        <v>912</v>
      </c>
      <c r="DZ5" s="11" t="n">
        <v>45146</v>
      </c>
      <c r="EA5" s="6" t="s">
        <f>=994.76</f>
      </c>
      <c r="EB5" s="0" t="s">
        <v>912</v>
      </c>
      <c r="EC5" s="11" t="n">
        <v>45210</v>
      </c>
      <c r="ED5" s="6" t="s">
        <f>=-86.66</f>
      </c>
      <c r="EE5" s="0" t="s">
        <v>466</v>
      </c>
      <c r="EF5" s="11" t="n">
        <v>45959</v>
      </c>
      <c r="EG5" s="6" t="s">
        <f>=899.29</f>
      </c>
      <c r="EH5" s="0" t="s">
        <v>912</v>
      </c>
      <c r="EI5" s="11" t="n">
        <v>46015</v>
      </c>
      <c r="EJ5" s="6" t="s">
        <f>=-164.55</f>
      </c>
      <c r="EK5" s="0" t="s">
        <v>873</v>
      </c>
      <c r="EL5" s="11" t="n">
        <v>45688</v>
      </c>
      <c r="EM5" s="6" t="s">
        <f>=-179.52</f>
      </c>
      <c r="EN5" s="0" t="s">
        <v>687</v>
      </c>
      <c r="EO5" s="11" t="n">
        <v>45566</v>
      </c>
      <c r="EP5" s="6" t="s">
        <f>=633.72</f>
      </c>
      <c r="EQ5" s="0" t="s">
        <v>912</v>
      </c>
      <c r="ER5" s="11" t="n">
        <v>45030</v>
      </c>
      <c r="ES5" s="6" t="s">
        <f>=1142.12</f>
      </c>
      <c r="ET5" s="0" t="s">
        <v>912</v>
      </c>
      <c r="EU5" s="11" t="n">
        <v>45702</v>
      </c>
      <c r="EV5" s="6" t="s">
        <f>=-155.58</f>
      </c>
      <c r="EW5" s="0" t="s">
        <v>690</v>
      </c>
      <c r="EX5" s="11" t="n">
        <v>45506</v>
      </c>
      <c r="EY5" s="6" t="s">
        <f>=815.29</f>
      </c>
      <c r="EZ5" s="0" t="s">
        <v>912</v>
      </c>
      <c r="FA5" s="11" t="n">
        <v>45875</v>
      </c>
      <c r="FB5" s="6" t="s">
        <f>=-41.46</f>
      </c>
      <c r="FC5" s="0" t="s">
        <v>816</v>
      </c>
      <c r="FD5" s="11" t="n">
        <v>46392</v>
      </c>
      <c r="FE5" s="8" t="s">
        <f>=-Портфель!J56</f>
      </c>
      <c r="FF5" s="0" t="s">
        <v>913</v>
      </c>
      <c r="FG5" s="11" t="n">
        <v>45670</v>
      </c>
      <c r="FH5" s="6" t="s">
        <f>=808.9</f>
      </c>
      <c r="FI5" s="0" t="s">
        <v>912</v>
      </c>
      <c r="FJ5" s="11" t="n">
        <v>45813</v>
      </c>
      <c r="FK5" s="6" t="s">
        <f>=876.53</f>
      </c>
      <c r="FL5" s="0" t="s">
        <v>912</v>
      </c>
      <c r="FM5" s="11" t="n">
        <v>45946</v>
      </c>
      <c r="FN5" s="6" t="s">
        <f>=-86.26</f>
      </c>
      <c r="FO5" s="0" t="s">
        <v>798</v>
      </c>
      <c r="FP5" s="0"/>
      <c r="FQ5" s="10" t="s">
        <f>=XIRR(FQ2:FQ4,FP2:FP4)</f>
      </c>
      <c r="FR5" s="0"/>
      <c r="FS5" s="11" t="n">
        <v>46420</v>
      </c>
      <c r="FT5" s="8" t="s">
        <f>=-Портфель!J61</f>
      </c>
      <c r="FU5" s="0" t="s">
        <v>913</v>
      </c>
      <c r="FV5" s="11" t="n">
        <v>46420</v>
      </c>
      <c r="FW5" s="8" t="s">
        <f>=-Портфель!J62</f>
      </c>
      <c r="FX5" s="0" t="s">
        <v>913</v>
      </c>
      <c r="FY5" s="11" t="n">
        <v>46420</v>
      </c>
      <c r="FZ5" s="8" t="s">
        <f>=-Портфель!J63</f>
      </c>
      <c r="GA5" s="0" t="s">
        <v>913</v>
      </c>
      <c r="GB5" s="0"/>
      <c r="GC5" s="10" t="s">
        <f>=XIRR(GC2:GC4,GB2:GB4)</f>
      </c>
      <c r="GD5" s="0"/>
      <c r="GE5" s="11" t="n">
        <v>45537</v>
      </c>
      <c r="GF5" s="6" t="s">
        <f>=-39.9</f>
      </c>
      <c r="GG5" s="0" t="s">
        <v>603</v>
      </c>
      <c r="GH5" s="11" t="n">
        <v>45220</v>
      </c>
      <c r="GI5" s="6" t="s">
        <f>=-22.56</f>
      </c>
      <c r="GJ5" s="0" t="s">
        <v>470</v>
      </c>
      <c r="GK5" s="11" t="n">
        <v>45532</v>
      </c>
      <c r="GL5" s="6" t="s">
        <f>=-28.1</f>
      </c>
      <c r="GM5" s="0" t="s">
        <v>586</v>
      </c>
      <c r="GN5" s="0"/>
      <c r="GO5" s="10" t="s">
        <f>=XIRR(GO2:GO4,GN2:GN4)</f>
      </c>
      <c r="GP5" s="0"/>
      <c r="GQ5" s="0"/>
      <c r="GR5" s="10" t="s">
        <f>=XIRR(GR2:GR4,GQ2:GQ4)</f>
      </c>
      <c r="GS5" s="0"/>
      <c r="GT5" s="11" t="n">
        <v>45629</v>
      </c>
      <c r="GU5" s="6" t="s">
        <f>=-56.1</f>
      </c>
      <c r="GV5" s="0" t="s">
        <v>482</v>
      </c>
      <c r="GW5" s="11" t="n">
        <v>45859</v>
      </c>
      <c r="GX5" s="6" t="s">
        <f>=-108.7</f>
      </c>
      <c r="GY5" s="0" t="s">
        <v>805</v>
      </c>
      <c r="GZ5" s="11" t="n">
        <v>45853</v>
      </c>
      <c r="HA5" s="6" t="s">
        <f>=-49.86</f>
      </c>
      <c r="HB5" s="0" t="s">
        <v>791</v>
      </c>
      <c r="HC5" s="11" t="n">
        <v>45922</v>
      </c>
      <c r="HD5" s="6" t="s">
        <f>=-90.76</f>
      </c>
      <c r="HE5" s="0" t="s">
        <v>704</v>
      </c>
      <c r="HF5" s="11" t="n">
        <v>45968</v>
      </c>
      <c r="HG5" s="6" t="s">
        <f>=-90.76</f>
      </c>
      <c r="HH5" s="0" t="s">
        <v>744</v>
      </c>
      <c r="HI5" s="11" t="n">
        <v>45594</v>
      </c>
      <c r="HJ5" s="6" t="s">
        <f>=-58.34</f>
      </c>
      <c r="HK5" s="0" t="s">
        <v>635</v>
      </c>
      <c r="HL5" s="11" t="n">
        <v>45821</v>
      </c>
      <c r="HM5" s="6" t="s">
        <f>=-35.66</f>
      </c>
      <c r="HN5" s="0" t="s">
        <v>701</v>
      </c>
      <c r="HO5" s="11" t="n">
        <v>45904</v>
      </c>
      <c r="HP5" s="6" t="s">
        <f>=-3.28</f>
      </c>
      <c r="HQ5" s="0" t="s">
        <v>784</v>
      </c>
      <c r="HR5" s="11" t="n">
        <v>45845</v>
      </c>
      <c r="HS5" s="6" t="s">
        <f>=-19.11</f>
      </c>
      <c r="HT5" s="0" t="s">
        <v>743</v>
      </c>
      <c r="HU5" s="11" t="n">
        <v>46094</v>
      </c>
      <c r="HV5" s="8" t="s">
        <f>=-Портфель!J79</f>
      </c>
      <c r="HW5" s="0" t="s">
        <v>913</v>
      </c>
      <c r="HX5" s="11" t="n">
        <v>45357</v>
      </c>
      <c r="HY5" s="6" t="s">
        <f>=-45.97</f>
      </c>
      <c r="HZ5" s="0" t="s">
        <v>514</v>
      </c>
      <c r="IA5" s="0"/>
      <c r="IB5" s="10" t="s">
        <f>=XIRR(IB2:IB4,IA2:IA4)</f>
      </c>
      <c r="IC5" s="0"/>
      <c r="ID5" s="11" t="n">
        <v>45859</v>
      </c>
      <c r="IE5" s="6" t="s">
        <f>=-20.96</f>
      </c>
      <c r="IF5" s="0" t="s">
        <v>757</v>
      </c>
      <c r="IG5" s="0"/>
      <c r="IH5" s="10" t="s">
        <f>=XIRR(IH2:IH4,IG2:IG4)</f>
      </c>
      <c r="II5" s="0"/>
      <c r="IJ5" s="11" t="n">
        <v>45866</v>
      </c>
      <c r="IK5" s="6" t="s">
        <f>=-19.48</f>
      </c>
      <c r="IL5" s="0" t="s">
        <v>763</v>
      </c>
      <c r="IM5" s="0"/>
      <c r="IN5" s="10" t="s">
        <f>=XIRR(IN2:IN4,IM2:IM4)</f>
      </c>
      <c r="IO5" s="0"/>
      <c r="IP5" s="11" t="n">
        <v>45815</v>
      </c>
      <c r="IQ5" s="6" t="s">
        <f>=-19.04</f>
      </c>
      <c r="IR5" s="0" t="s">
        <v>775</v>
      </c>
      <c r="IS5" s="11" t="n">
        <v>45079</v>
      </c>
      <c r="IT5" s="6" t="s">
        <f>=-24.81</f>
      </c>
      <c r="IU5" s="0" t="s">
        <v>379</v>
      </c>
      <c r="IV5" s="0"/>
      <c r="IW5" s="10" t="s">
        <f>=XIRR(IW2:IW4,IV2:IV4)</f>
      </c>
      <c r="IX5" s="0"/>
      <c r="IY5" s="11" t="n">
        <v>45811</v>
      </c>
      <c r="IZ5" s="6" t="s">
        <f>=-29.17</f>
      </c>
      <c r="JA5" s="0" t="s">
        <v>651</v>
      </c>
      <c r="JB5" s="11" t="n">
        <v>46094</v>
      </c>
      <c r="JC5" s="8" t="s">
        <f>=-Портфель!J90</f>
      </c>
      <c r="JD5" s="0" t="s">
        <v>913</v>
      </c>
      <c r="JE5" s="11" t="n">
        <v>45406</v>
      </c>
      <c r="JF5" s="6" t="s">
        <f>=-43.1</f>
      </c>
      <c r="JG5" s="0" t="s">
        <v>537</v>
      </c>
      <c r="JH5" s="11" t="n">
        <v>45370</v>
      </c>
      <c r="JI5" s="6" t="s">
        <f>=-39.39</f>
      </c>
      <c r="JJ5" s="0" t="s">
        <v>399</v>
      </c>
      <c r="JK5" s="11" t="n">
        <v>45434</v>
      </c>
      <c r="JL5" s="6" t="s">
        <f>=-14.4</f>
      </c>
      <c r="JM5" s="0" t="s">
        <v>547</v>
      </c>
      <c r="JN5" s="11" t="n">
        <v>45813</v>
      </c>
      <c r="JO5" s="6" t="s">
        <f>=-35.53</f>
      </c>
      <c r="JP5" s="0" t="s">
        <v>659</v>
      </c>
      <c r="JQ5" s="11" t="n">
        <v>46094</v>
      </c>
      <c r="JR5" s="8" t="s">
        <f>=-Портфель!J95</f>
      </c>
      <c r="JS5" s="0" t="s">
        <v>913</v>
      </c>
      <c r="JT5" s="11" t="n">
        <v>45497</v>
      </c>
      <c r="JU5" s="6" t="s">
        <f>=-43.38</f>
      </c>
      <c r="JV5" s="0" t="s">
        <v>439</v>
      </c>
      <c r="JW5" s="11" t="n">
        <v>45139</v>
      </c>
      <c r="JX5" s="6" t="s">
        <f>=-28.22</f>
      </c>
      <c r="JY5" s="0" t="s">
        <v>387</v>
      </c>
      <c r="JZ5" s="11" t="n">
        <v>45413</v>
      </c>
      <c r="KA5" s="6" t="s">
        <f>=-39.1</f>
      </c>
      <c r="KB5" s="0" t="s">
        <v>540</v>
      </c>
      <c r="KC5" s="11" t="n">
        <v>45471</v>
      </c>
      <c r="KD5" s="6" t="s">
        <f>=-65.82</f>
      </c>
      <c r="KE5" s="0" t="s">
        <v>493</v>
      </c>
      <c r="KF5" s="11" t="n">
        <v>45779</v>
      </c>
      <c r="KG5" s="6" t="s">
        <f>=-23.86</f>
      </c>
      <c r="KH5" s="0" t="s">
        <v>637</v>
      </c>
      <c r="KI5" s="11" t="n">
        <v>46094</v>
      </c>
      <c r="KJ5" s="8" t="s">
        <f>=-Портфель!J101</f>
      </c>
      <c r="KK5" s="0" t="s">
        <v>913</v>
      </c>
      <c r="KL5" s="11" t="n">
        <v>45763</v>
      </c>
      <c r="KM5" s="6" t="s">
        <f>=-26.18</f>
      </c>
      <c r="KN5" s="0" t="s">
        <v>626</v>
      </c>
      <c r="KO5" s="11" t="n">
        <v>45994</v>
      </c>
      <c r="KP5" s="6" t="s">
        <f>=-56.84</f>
      </c>
      <c r="KQ5" s="0" t="s">
        <v>652</v>
      </c>
      <c r="KR5" s="11" t="n">
        <v>45325</v>
      </c>
      <c r="KS5" s="6" t="s">
        <f>=-53.1</f>
      </c>
      <c r="KT5" s="0" t="s">
        <v>448</v>
      </c>
      <c r="KU5" s="11" t="n">
        <v>45992</v>
      </c>
      <c r="KV5" s="6" t="s">
        <f>=-25.68</f>
      </c>
      <c r="KW5" s="0" t="s">
        <v>766</v>
      </c>
      <c r="KX5" s="11" t="n">
        <v>45824</v>
      </c>
      <c r="KY5" s="6" t="s">
        <f>=-18.75</f>
      </c>
      <c r="KZ5" s="0" t="s">
        <v>778</v>
      </c>
      <c r="LA5" s="11" t="n">
        <v>45812</v>
      </c>
      <c r="LB5" s="6" t="s">
        <f>=-19.55</f>
      </c>
      <c r="LC5" s="0" t="s">
        <v>655</v>
      </c>
      <c r="LD5" s="11" t="n">
        <v>45620</v>
      </c>
      <c r="LE5" s="6" t="s">
        <f>=-11.18</f>
      </c>
      <c r="LF5" s="0" t="s">
        <v>613</v>
      </c>
      <c r="LG5" s="11" t="n">
        <v>46078</v>
      </c>
      <c r="LH5" s="8" t="s">
        <f>=-Портфель!J109</f>
      </c>
      <c r="LI5" s="0" t="s">
        <v>913</v>
      </c>
      <c r="LJ5" s="11" t="n">
        <v>45084</v>
      </c>
      <c r="LK5" s="6" t="s">
        <f>=-19.87</f>
      </c>
      <c r="LL5" s="0" t="s">
        <v>381</v>
      </c>
      <c r="LM5" s="11" t="n">
        <v>45253</v>
      </c>
      <c r="LN5" s="6" t="s">
        <f>=-10.83</f>
      </c>
      <c r="LO5" s="0" t="s">
        <v>419</v>
      </c>
      <c r="LP5" s="11" t="n">
        <v>45496</v>
      </c>
      <c r="LQ5" s="6" t="s">
        <f>=-34.28</f>
      </c>
      <c r="LR5" s="0" t="s">
        <v>499</v>
      </c>
    </row>
    <row collapsed="false" customFormat="false" customHeight="false" hidden="false" ht="12.1" outlineLevel="0" r="6">
      <c r="A6" s="11" t="n">
        <v>45056</v>
      </c>
      <c r="B6" s="6" t="n">
        <v>2223.15</v>
      </c>
      <c r="C6" s="0" t="s">
        <v>912</v>
      </c>
      <c r="D6" s="11" t="n">
        <v>46234</v>
      </c>
      <c r="E6" s="8" t="s">
        <f>=-Портфель!J3</f>
      </c>
      <c r="F6" s="0" t="s">
        <v>913</v>
      </c>
      <c r="G6" s="11" t="n">
        <v>46013</v>
      </c>
      <c r="H6" s="6" t="n">
        <v>-360</v>
      </c>
      <c r="I6" s="0" t="s">
        <v>872</v>
      </c>
      <c r="J6" s="11" t="n">
        <v>45793</v>
      </c>
      <c r="K6" s="6" t="n">
        <v>-192</v>
      </c>
      <c r="L6" s="0" t="s">
        <v>750</v>
      </c>
      <c r="M6" s="11" t="n">
        <v>45484</v>
      </c>
      <c r="N6" s="6" t="n">
        <v>-999</v>
      </c>
      <c r="O6" s="0" t="s">
        <v>574</v>
      </c>
      <c r="P6" s="11" t="n">
        <v>45506</v>
      </c>
      <c r="Q6" s="6" t="n">
        <v>1323.56</v>
      </c>
      <c r="R6" s="0" t="s">
        <v>912</v>
      </c>
      <c r="S6" s="11" t="n">
        <v>45729</v>
      </c>
      <c r="T6" s="6" t="n">
        <v>2098.78</v>
      </c>
      <c r="U6" s="0" t="s">
        <v>912</v>
      </c>
      <c r="V6" s="11" t="n">
        <v>45210</v>
      </c>
      <c r="W6" s="6" t="n">
        <v>-27.54</v>
      </c>
      <c r="X6" s="0" t="s">
        <v>467</v>
      </c>
      <c r="Y6" s="11" t="n">
        <v>45198</v>
      </c>
      <c r="Z6" s="6" t="n">
        <v>429.94</v>
      </c>
      <c r="AA6" s="0" t="s">
        <v>912</v>
      </c>
      <c r="AB6" s="11" t="n">
        <v>46078</v>
      </c>
      <c r="AC6" s="8" t="s">
        <f>=-Портфель!J11</f>
      </c>
      <c r="AD6" s="0" t="s">
        <v>913</v>
      </c>
      <c r="AE6" s="11" t="n">
        <v>45506</v>
      </c>
      <c r="AF6" s="6" t="n">
        <v>3013.81</v>
      </c>
      <c r="AG6" s="0" t="s">
        <v>912</v>
      </c>
      <c r="AH6" s="11" t="n">
        <v>45219</v>
      </c>
      <c r="AI6" s="6" t="n">
        <v>520.96</v>
      </c>
      <c r="AJ6" s="0" t="s">
        <v>912</v>
      </c>
      <c r="AK6" s="11" t="n">
        <v>46078</v>
      </c>
      <c r="AL6" s="8" t="s">
        <f>=-Портфель!J14</f>
      </c>
      <c r="AM6" s="0" t="s">
        <v>913</v>
      </c>
      <c r="AN6" s="0"/>
      <c r="AO6" s="10" t="s">
        <f>=XIRR(AO2:AO5,AN2:AN5)</f>
      </c>
      <c r="AP6" s="0"/>
      <c r="AQ6" s="11" t="n">
        <v>45541</v>
      </c>
      <c r="AR6" s="6" t="n">
        <v>479.63</v>
      </c>
      <c r="AS6" s="0" t="s">
        <v>912</v>
      </c>
      <c r="AT6" s="11" t="n">
        <v>45506</v>
      </c>
      <c r="AU6" s="6" t="n">
        <v>825.37</v>
      </c>
      <c r="AV6" s="0" t="s">
        <v>912</v>
      </c>
      <c r="AW6" s="0"/>
      <c r="AX6" s="8" t="s">
        <f>=-SUM(AX2:AX4)</f>
      </c>
      <c r="AY6" s="0" t="s">
        <v>914</v>
      </c>
      <c r="AZ6" s="11" t="n">
        <v>46078</v>
      </c>
      <c r="BA6" s="8" t="s">
        <f>=-Портфель!J19</f>
      </c>
      <c r="BB6" s="0" t="s">
        <v>913</v>
      </c>
      <c r="BC6" s="11" t="n">
        <v>46078</v>
      </c>
      <c r="BD6" s="8" t="s">
        <f>=-Портфель!J20</f>
      </c>
      <c r="BE6" s="0" t="s">
        <v>913</v>
      </c>
      <c r="BF6" s="11" t="n">
        <v>46078</v>
      </c>
      <c r="BG6" s="8" t="s">
        <f>=-Портфель!J21</f>
      </c>
      <c r="BH6" s="0" t="s">
        <v>913</v>
      </c>
      <c r="BI6" s="11" t="n">
        <v>45377</v>
      </c>
      <c r="BJ6" s="6" t="n">
        <v>-44.09</v>
      </c>
      <c r="BK6" s="0" t="s">
        <v>523</v>
      </c>
      <c r="BL6" s="0"/>
      <c r="BM6" s="0"/>
      <c r="BN6" s="0"/>
      <c r="BO6" s="11" t="n">
        <v>45582</v>
      </c>
      <c r="BP6" s="6" t="n">
        <v>-74.82</v>
      </c>
      <c r="BQ6" s="0" t="s">
        <v>628</v>
      </c>
      <c r="BR6" s="0"/>
      <c r="BS6" s="8" t="s">
        <f>=-SUM(BS2:BS4)</f>
      </c>
      <c r="BT6" s="0" t="s">
        <v>914</v>
      </c>
      <c r="BU6" s="0"/>
      <c r="BV6" s="8" t="s">
        <f>=-SUM(BV2:BV4)</f>
      </c>
      <c r="BW6" s="0" t="s">
        <v>914</v>
      </c>
      <c r="BX6" s="11" t="n">
        <v>45061</v>
      </c>
      <c r="BY6" s="6" t="s">
        <f>=731.95</f>
      </c>
      <c r="BZ6" s="0" t="s">
        <v>912</v>
      </c>
      <c r="CA6" s="11" t="n">
        <v>45098</v>
      </c>
      <c r="CB6" s="6" t="s">
        <f>=-142.56</f>
      </c>
      <c r="CC6" s="0" t="s">
        <v>432</v>
      </c>
      <c r="CD6" s="11" t="n">
        <v>45356</v>
      </c>
      <c r="CE6" s="6" t="s">
        <f>=849.91</f>
      </c>
      <c r="CF6" s="0" t="s">
        <v>912</v>
      </c>
      <c r="CG6" s="11" t="n">
        <v>45084</v>
      </c>
      <c r="CH6" s="6" t="s">
        <f>=-141.6</f>
      </c>
      <c r="CI6" s="0" t="s">
        <v>425</v>
      </c>
      <c r="CJ6" s="11" t="n">
        <v>45714</v>
      </c>
      <c r="CK6" s="6" t="s">
        <f>=858.07</f>
      </c>
      <c r="CL6" s="0" t="s">
        <v>912</v>
      </c>
      <c r="CM6" s="11" t="n">
        <v>45702</v>
      </c>
      <c r="CN6" s="6" t="s">
        <f>=857.06</f>
      </c>
      <c r="CO6" s="0" t="s">
        <v>912</v>
      </c>
      <c r="CP6" s="11" t="n">
        <v>45007</v>
      </c>
      <c r="CQ6" s="6" t="s">
        <f>=-58.84</f>
      </c>
      <c r="CR6" s="0" t="s">
        <v>401</v>
      </c>
      <c r="CS6" s="11" t="n">
        <v>45184</v>
      </c>
      <c r="CT6" s="6" t="s">
        <f>=776.84</f>
      </c>
      <c r="CU6" s="0" t="s">
        <v>912</v>
      </c>
      <c r="CV6" s="11" t="n">
        <v>45063</v>
      </c>
      <c r="CW6" s="6" t="s">
        <f>=-153.63</f>
      </c>
      <c r="CX6" s="0" t="s">
        <v>415</v>
      </c>
      <c r="CY6" s="11" t="n">
        <v>45082</v>
      </c>
      <c r="CZ6" s="6" t="s">
        <f>=1553.86</f>
      </c>
      <c r="DA6" s="0" t="s">
        <v>912</v>
      </c>
      <c r="DB6" s="11" t="n">
        <v>45714</v>
      </c>
      <c r="DC6" s="6" t="s">
        <f>=829.05</f>
      </c>
      <c r="DD6" s="0" t="s">
        <v>912</v>
      </c>
      <c r="DE6" s="11" t="n">
        <v>45387</v>
      </c>
      <c r="DF6" s="6" t="s">
        <f>=851.49</f>
      </c>
      <c r="DG6" s="0" t="s">
        <v>912</v>
      </c>
      <c r="DH6" s="11" t="n">
        <v>45776</v>
      </c>
      <c r="DI6" s="6" t="s">
        <f>=834.81</f>
      </c>
      <c r="DJ6" s="0" t="s">
        <v>912</v>
      </c>
      <c r="DK6" s="11" t="n">
        <v>45351</v>
      </c>
      <c r="DL6" s="6" t="s">
        <f>=844.62</f>
      </c>
      <c r="DM6" s="0" t="s">
        <v>912</v>
      </c>
      <c r="DN6" s="11" t="n">
        <v>45385</v>
      </c>
      <c r="DO6" s="6" t="s">
        <f>=-76.78</f>
      </c>
      <c r="DP6" s="0" t="s">
        <v>529</v>
      </c>
      <c r="DQ6" s="11" t="n">
        <v>45387</v>
      </c>
      <c r="DR6" s="6" t="s">
        <f>=898.85</f>
      </c>
      <c r="DS6" s="0" t="s">
        <v>912</v>
      </c>
      <c r="DT6" s="11" t="n">
        <v>45447</v>
      </c>
      <c r="DU6" s="6" t="s">
        <f>=749.51</f>
      </c>
      <c r="DV6" s="0" t="s">
        <v>912</v>
      </c>
      <c r="DW6" s="11" t="n">
        <v>45070</v>
      </c>
      <c r="DX6" s="6" t="s">
        <f>=-108.45</f>
      </c>
      <c r="DY6" s="0" t="s">
        <v>418</v>
      </c>
      <c r="DZ6" s="11" t="n">
        <v>45252</v>
      </c>
      <c r="EA6" s="6" t="s">
        <f>=-89.8</f>
      </c>
      <c r="EB6" s="0" t="s">
        <v>478</v>
      </c>
      <c r="EC6" s="11" t="n">
        <v>45392</v>
      </c>
      <c r="ED6" s="6" t="s">
        <f>=-102.62</f>
      </c>
      <c r="EE6" s="0" t="s">
        <v>531</v>
      </c>
      <c r="EF6" s="11" t="n">
        <v>46015</v>
      </c>
      <c r="EG6" s="6" t="s">
        <f>=-239.36</f>
      </c>
      <c r="EH6" s="0" t="s">
        <v>874</v>
      </c>
      <c r="EI6" s="11" t="n">
        <v>46027</v>
      </c>
      <c r="EJ6" s="6" t="s">
        <f>=869.66</f>
      </c>
      <c r="EK6" s="0" t="s">
        <v>912</v>
      </c>
      <c r="EL6" s="11" t="n">
        <v>45813</v>
      </c>
      <c r="EM6" s="6" t="s">
        <f>=922.86</f>
      </c>
      <c r="EN6" s="0" t="s">
        <v>912</v>
      </c>
      <c r="EO6" s="11" t="n">
        <v>45566</v>
      </c>
      <c r="EP6" s="6" t="s">
        <f>=633.73</f>
      </c>
      <c r="EQ6" s="0" t="s">
        <v>912</v>
      </c>
      <c r="ER6" s="11" t="n">
        <v>45114</v>
      </c>
      <c r="ES6" s="6" t="s">
        <f>=1163.89</f>
      </c>
      <c r="ET6" s="0" t="s">
        <v>912</v>
      </c>
      <c r="EU6" s="11" t="n">
        <v>45813</v>
      </c>
      <c r="EV6" s="6" t="s">
        <f>=934.51</f>
      </c>
      <c r="EW6" s="0" t="s">
        <v>912</v>
      </c>
      <c r="EX6" s="11" t="n">
        <v>45539</v>
      </c>
      <c r="EY6" s="6" t="s">
        <f>=-179.52</f>
      </c>
      <c r="EZ6" s="0" t="s">
        <v>604</v>
      </c>
      <c r="FA6" s="11" t="n">
        <v>46057</v>
      </c>
      <c r="FB6" s="6" t="s">
        <f>=-42.12</f>
      </c>
      <c r="FC6" s="0" t="s">
        <v>893</v>
      </c>
      <c r="FD6" s="0"/>
      <c r="FE6" s="10" t="s">
        <f>=XIRR(FE2:FE5,FD2:FD5)</f>
      </c>
      <c r="FF6" s="0"/>
      <c r="FG6" s="11" t="n">
        <v>45713</v>
      </c>
      <c r="FH6" s="6" t="s">
        <f>=-74.79</f>
      </c>
      <c r="FI6" s="0" t="s">
        <v>696</v>
      </c>
      <c r="FJ6" s="11" t="n">
        <v>45891</v>
      </c>
      <c r="FK6" s="6" t="s">
        <f>=-134.64</f>
      </c>
      <c r="FL6" s="0" t="s">
        <v>822</v>
      </c>
      <c r="FM6" s="11" t="n">
        <v>46037</v>
      </c>
      <c r="FN6" s="6" t="s">
        <f>=-86.26</f>
      </c>
      <c r="FO6" s="0" t="s">
        <v>798</v>
      </c>
      <c r="FP6" s="0"/>
      <c r="FQ6" s="8" t="s">
        <f>=-SUM(FQ2:FQ4)</f>
      </c>
      <c r="FR6" s="0" t="s">
        <v>914</v>
      </c>
      <c r="FS6" s="0"/>
      <c r="FT6" s="10" t="s">
        <f>=XIRR(FT2:FT5,FS2:FS5)</f>
      </c>
      <c r="FU6" s="0"/>
      <c r="FV6" s="0"/>
      <c r="FW6" s="10" t="s">
        <f>=XIRR(FW2:FW5,FV2:FV5)</f>
      </c>
      <c r="FX6" s="0"/>
      <c r="FY6" s="0"/>
      <c r="FZ6" s="10" t="s">
        <f>=XIRR(FZ2:FZ5,FY2:FY5)</f>
      </c>
      <c r="GA6" s="0"/>
      <c r="GB6" s="0"/>
      <c r="GC6" s="8" t="s">
        <f>=-SUM(GC2:GC4)</f>
      </c>
      <c r="GD6" s="0" t="s">
        <v>914</v>
      </c>
      <c r="GE6" s="11" t="n">
        <v>45628</v>
      </c>
      <c r="GF6" s="6" t="s">
        <f>=-39.9</f>
      </c>
      <c r="GG6" s="0" t="s">
        <v>603</v>
      </c>
      <c r="GH6" s="11" t="n">
        <v>45251</v>
      </c>
      <c r="GI6" s="6" t="s">
        <f>=-23.86</f>
      </c>
      <c r="GJ6" s="0" t="s">
        <v>477</v>
      </c>
      <c r="GK6" s="11" t="n">
        <v>45562</v>
      </c>
      <c r="GL6" s="6" t="s">
        <f>=-31.4</f>
      </c>
      <c r="GM6" s="0" t="s">
        <v>617</v>
      </c>
      <c r="GN6" s="0"/>
      <c r="GO6" s="8" t="s">
        <f>=-SUM(GO2:GO4)</f>
      </c>
      <c r="GP6" s="0" t="s">
        <v>914</v>
      </c>
      <c r="GQ6" s="0"/>
      <c r="GR6" s="8" t="s">
        <f>=-SUM(GR2:GR4)</f>
      </c>
      <c r="GS6" s="0" t="s">
        <v>914</v>
      </c>
      <c r="GT6" s="11" t="n">
        <v>45811</v>
      </c>
      <c r="GU6" s="6" t="s">
        <f>=-56.1</f>
      </c>
      <c r="GV6" s="0" t="s">
        <v>482</v>
      </c>
      <c r="GW6" s="11" t="n">
        <v>46041</v>
      </c>
      <c r="GX6" s="6" t="s">
        <f>=-108.7</f>
      </c>
      <c r="GY6" s="0" t="s">
        <v>805</v>
      </c>
      <c r="GZ6" s="11" t="n">
        <v>45944</v>
      </c>
      <c r="HA6" s="6" t="s">
        <f>=-49.86</f>
      </c>
      <c r="HB6" s="0" t="s">
        <v>791</v>
      </c>
      <c r="HC6" s="11" t="n">
        <v>46078</v>
      </c>
      <c r="HD6" s="8" t="s">
        <f>=-Портфель!J73</f>
      </c>
      <c r="HE6" s="0" t="s">
        <v>913</v>
      </c>
      <c r="HF6" s="11" t="n">
        <v>46078</v>
      </c>
      <c r="HG6" s="8" t="s">
        <f>=-Портфель!J74</f>
      </c>
      <c r="HH6" s="0" t="s">
        <v>913</v>
      </c>
      <c r="HI6" s="11" t="n">
        <v>45685</v>
      </c>
      <c r="HJ6" s="6" t="s">
        <f>=-58.34</f>
      </c>
      <c r="HK6" s="0" t="s">
        <v>635</v>
      </c>
      <c r="HL6" s="11" t="n">
        <v>45912</v>
      </c>
      <c r="HM6" s="6" t="s">
        <f>=-35.66</f>
      </c>
      <c r="HN6" s="0" t="s">
        <v>701</v>
      </c>
      <c r="HO6" s="11" t="n">
        <v>45934</v>
      </c>
      <c r="HP6" s="6" t="s">
        <f>=-3.28</f>
      </c>
      <c r="HQ6" s="0" t="s">
        <v>784</v>
      </c>
      <c r="HR6" s="11" t="n">
        <v>45875</v>
      </c>
      <c r="HS6" s="6" t="s">
        <f>=-19.11</f>
      </c>
      <c r="HT6" s="0" t="s">
        <v>743</v>
      </c>
      <c r="HU6" s="0"/>
      <c r="HV6" s="10" t="s">
        <f>=XIRR(HV2:HV5,HU2:HU5)</f>
      </c>
      <c r="HW6" s="0"/>
      <c r="HX6" s="11" t="n">
        <v>45539</v>
      </c>
      <c r="HY6" s="6" t="s">
        <f>=-78.63</f>
      </c>
      <c r="HZ6" s="0" t="s">
        <v>605</v>
      </c>
      <c r="IA6" s="0"/>
      <c r="IB6" s="8" t="s">
        <f>=-SUM(IB2:IB4)</f>
      </c>
      <c r="IC6" s="0" t="s">
        <v>914</v>
      </c>
      <c r="ID6" s="11" t="n">
        <v>45889</v>
      </c>
      <c r="IE6" s="6" t="s">
        <f>=-20.96</f>
      </c>
      <c r="IF6" s="0" t="s">
        <v>757</v>
      </c>
      <c r="IG6" s="0"/>
      <c r="IH6" s="8" t="s">
        <f>=-SUM(IH2:IH4)</f>
      </c>
      <c r="II6" s="0" t="s">
        <v>914</v>
      </c>
      <c r="IJ6" s="11" t="n">
        <v>45896</v>
      </c>
      <c r="IK6" s="6" t="s">
        <f>=-19.48</f>
      </c>
      <c r="IL6" s="0" t="s">
        <v>763</v>
      </c>
      <c r="IM6" s="0"/>
      <c r="IN6" s="8" t="s">
        <f>=-SUM(IN2:IN4)</f>
      </c>
      <c r="IO6" s="0" t="s">
        <v>914</v>
      </c>
      <c r="IP6" s="11" t="n">
        <v>45846</v>
      </c>
      <c r="IQ6" s="6" t="s">
        <f>=-18.76</f>
      </c>
      <c r="IR6" s="0" t="s">
        <v>718</v>
      </c>
      <c r="IS6" s="11" t="n">
        <v>45170</v>
      </c>
      <c r="IT6" s="6" t="s">
        <f>=-24.81</f>
      </c>
      <c r="IU6" s="0" t="s">
        <v>379</v>
      </c>
      <c r="IV6" s="0"/>
      <c r="IW6" s="8" t="s">
        <f>=-SUM(IW2:IW4)</f>
      </c>
      <c r="IX6" s="0" t="s">
        <v>914</v>
      </c>
      <c r="IY6" s="11" t="n">
        <v>45902</v>
      </c>
      <c r="IZ6" s="6" t="s">
        <f>=-29.17</f>
      </c>
      <c r="JA6" s="0" t="s">
        <v>651</v>
      </c>
      <c r="JB6" s="0"/>
      <c r="JC6" s="10" t="s">
        <f>=XIRR(JC2:JC5,JB2:JB5)</f>
      </c>
      <c r="JD6" s="0"/>
      <c r="JE6" s="11" t="n">
        <v>45497</v>
      </c>
      <c r="JF6" s="6" t="s">
        <f>=-43.42</f>
      </c>
      <c r="JG6" s="0" t="s">
        <v>581</v>
      </c>
      <c r="JH6" s="11" t="n">
        <v>45552</v>
      </c>
      <c r="JI6" s="6" t="s">
        <f>=-39.39</f>
      </c>
      <c r="JJ6" s="0" t="s">
        <v>399</v>
      </c>
      <c r="JK6" s="11" t="n">
        <v>45465</v>
      </c>
      <c r="JL6" s="6" t="s">
        <f>=-14.58</f>
      </c>
      <c r="JM6" s="0" t="s">
        <v>564</v>
      </c>
      <c r="JN6" s="11" t="n">
        <v>45904</v>
      </c>
      <c r="JO6" s="6" t="s">
        <f>=-35.53</f>
      </c>
      <c r="JP6" s="0" t="s">
        <v>659</v>
      </c>
      <c r="JQ6" s="0"/>
      <c r="JR6" s="10" t="s">
        <f>=XIRR(JR2:JR5,JQ2:JQ5)</f>
      </c>
      <c r="JS6" s="0"/>
      <c r="JT6" s="11" t="n">
        <v>45679</v>
      </c>
      <c r="JU6" s="6" t="s">
        <f>=-43.38</f>
      </c>
      <c r="JV6" s="0" t="s">
        <v>439</v>
      </c>
      <c r="JW6" s="11" t="n">
        <v>45230</v>
      </c>
      <c r="JX6" s="6" t="s">
        <f>=-28.22</f>
      </c>
      <c r="JY6" s="0" t="s">
        <v>387</v>
      </c>
      <c r="JZ6" s="11" t="n">
        <v>45504</v>
      </c>
      <c r="KA6" s="6" t="s">
        <f>=-39.45</f>
      </c>
      <c r="KB6" s="0" t="s">
        <v>592</v>
      </c>
      <c r="KC6" s="11" t="n">
        <v>45652</v>
      </c>
      <c r="KD6" s="6" t="s">
        <f>=-200</f>
      </c>
      <c r="KE6" s="0" t="s">
        <v>670</v>
      </c>
      <c r="KF6" s="11" t="n">
        <v>45870</v>
      </c>
      <c r="KG6" s="6" t="s">
        <f>=-23.86</f>
      </c>
      <c r="KH6" s="0" t="s">
        <v>637</v>
      </c>
      <c r="KI6" s="0"/>
      <c r="KJ6" s="10" t="s">
        <f>=XIRR(KJ2:KJ5,KI2:KI5)</f>
      </c>
      <c r="KK6" s="0"/>
      <c r="KL6" s="11" t="n">
        <v>45854</v>
      </c>
      <c r="KM6" s="6" t="s">
        <f>=-26.18</f>
      </c>
      <c r="KN6" s="0" t="s">
        <v>626</v>
      </c>
      <c r="KO6" s="11" t="n">
        <v>46078</v>
      </c>
      <c r="KP6" s="8" t="s">
        <f>=-Портфель!J103</f>
      </c>
      <c r="KQ6" s="0" t="s">
        <v>913</v>
      </c>
      <c r="KR6" s="11" t="n">
        <v>45507</v>
      </c>
      <c r="KS6" s="6" t="s">
        <f>=-53.1</f>
      </c>
      <c r="KT6" s="0" t="s">
        <v>448</v>
      </c>
      <c r="KU6" s="11" t="n">
        <v>46141</v>
      </c>
      <c r="KV6" s="8" t="s">
        <f>=-Портфель!J105</f>
      </c>
      <c r="KW6" s="0" t="s">
        <v>913</v>
      </c>
      <c r="KX6" s="11" t="n">
        <v>45855</v>
      </c>
      <c r="KY6" s="6" t="s">
        <f>=-18.68</f>
      </c>
      <c r="KZ6" s="0" t="s">
        <v>797</v>
      </c>
      <c r="LA6" s="11" t="n">
        <v>45903</v>
      </c>
      <c r="LB6" s="6" t="s">
        <f>=-19.55</f>
      </c>
      <c r="LC6" s="0" t="s">
        <v>655</v>
      </c>
      <c r="LD6" s="11" t="n">
        <v>45650</v>
      </c>
      <c r="LE6" s="6" t="s">
        <f>=-11.18</f>
      </c>
      <c r="LF6" s="0" t="s">
        <v>613</v>
      </c>
      <c r="LG6" s="0"/>
      <c r="LH6" s="10" t="s">
        <f>=XIRR(LH2:LH5,LG2:LG5)</f>
      </c>
      <c r="LI6" s="0"/>
      <c r="LJ6" s="11" t="n">
        <v>45175</v>
      </c>
      <c r="LK6" s="6" t="s">
        <f>=-19.87</f>
      </c>
      <c r="LL6" s="0" t="s">
        <v>381</v>
      </c>
      <c r="LM6" s="11" t="n">
        <v>45343</v>
      </c>
      <c r="LN6" s="6" t="s">
        <f>=-125</f>
      </c>
      <c r="LO6" s="0" t="s">
        <v>510</v>
      </c>
      <c r="LP6" s="11" t="n">
        <v>45587</v>
      </c>
      <c r="LQ6" s="6" t="s">
        <f>=-34.28</f>
      </c>
      <c r="LR6" s="0" t="s">
        <v>499</v>
      </c>
    </row>
    <row collapsed="false" customFormat="false" customHeight="false" hidden="false" ht="12.1" outlineLevel="0" r="7">
      <c r="A7" s="11" t="n">
        <v>45057</v>
      </c>
      <c r="B7" s="6" t="n">
        <v>-750</v>
      </c>
      <c r="C7" s="0" t="s">
        <v>413</v>
      </c>
      <c r="D7" s="0"/>
      <c r="E7" s="10" t="s">
        <f>=XIRR(E2:E6,D2:D6)</f>
      </c>
      <c r="F7" s="0"/>
      <c r="G7" s="11" t="n">
        <v>46078</v>
      </c>
      <c r="H7" s="8" t="s">
        <f>=-Портфель!J4</f>
      </c>
      <c r="I7" s="0" t="s">
        <v>913</v>
      </c>
      <c r="J7" s="11" t="n">
        <v>45813</v>
      </c>
      <c r="K7" s="6" t="n">
        <v>3315.92</v>
      </c>
      <c r="L7" s="0" t="s">
        <v>912</v>
      </c>
      <c r="M7" s="11" t="n">
        <v>45856</v>
      </c>
      <c r="N7" s="6" t="n">
        <v>-1045.2</v>
      </c>
      <c r="O7" s="0" t="s">
        <v>802</v>
      </c>
      <c r="P7" s="11" t="n">
        <v>45597</v>
      </c>
      <c r="Q7" s="6" t="n">
        <v>1236.7</v>
      </c>
      <c r="R7" s="0" t="s">
        <v>912</v>
      </c>
      <c r="S7" s="11" t="n">
        <v>45848</v>
      </c>
      <c r="T7" s="6" t="n">
        <v>-783.3</v>
      </c>
      <c r="U7" s="0" t="s">
        <v>789</v>
      </c>
      <c r="V7" s="11" t="n">
        <v>45300</v>
      </c>
      <c r="W7" s="6" t="n">
        <v>-35.17</v>
      </c>
      <c r="X7" s="0" t="s">
        <v>494</v>
      </c>
      <c r="Y7" s="11" t="n">
        <v>45219</v>
      </c>
      <c r="Z7" s="6" t="n">
        <v>886.15</v>
      </c>
      <c r="AA7" s="0" t="s">
        <v>912</v>
      </c>
      <c r="AB7" s="0"/>
      <c r="AC7" s="10" t="s">
        <f>=XIRR(AC2:AC6,AB2:AB6)</f>
      </c>
      <c r="AD7" s="0"/>
      <c r="AE7" s="11" t="n">
        <v>46078</v>
      </c>
      <c r="AF7" s="8" t="s">
        <f>=-Портфель!J12</f>
      </c>
      <c r="AG7" s="0" t="s">
        <v>913</v>
      </c>
      <c r="AH7" s="11" t="n">
        <v>45324</v>
      </c>
      <c r="AI7" s="6" t="n">
        <v>246.14</v>
      </c>
      <c r="AJ7" s="0" t="s">
        <v>912</v>
      </c>
      <c r="AK7" s="0"/>
      <c r="AL7" s="10" t="s">
        <f>=XIRR(AL2:AL6,AK2:AK6)</f>
      </c>
      <c r="AM7" s="0"/>
      <c r="AN7" s="0"/>
      <c r="AO7" s="8" t="s">
        <f>=-SUM(AO2:AO5)</f>
      </c>
      <c r="AP7" s="0" t="s">
        <v>914</v>
      </c>
      <c r="AQ7" s="11" t="n">
        <v>45639</v>
      </c>
      <c r="AR7" s="6" t="n">
        <v>478.53</v>
      </c>
      <c r="AS7" s="0" t="s">
        <v>912</v>
      </c>
      <c r="AT7" s="11" t="n">
        <v>45562</v>
      </c>
      <c r="AU7" s="6" t="n">
        <v>-242.4</v>
      </c>
      <c r="AV7" s="0" t="s">
        <v>618</v>
      </c>
      <c r="AW7" s="0"/>
      <c r="AX7" s="0"/>
      <c r="AY7" s="0"/>
      <c r="AZ7" s="0"/>
      <c r="BA7" s="10" t="s">
        <f>=XIRR(BA2:BA6,AZ2:AZ6)</f>
      </c>
      <c r="BB7" s="0"/>
      <c r="BC7" s="0"/>
      <c r="BD7" s="10" t="s">
        <f>=XIRR(BD2:BD6,BC2:BC6)</f>
      </c>
      <c r="BE7" s="0"/>
      <c r="BF7" s="0"/>
      <c r="BG7" s="10" t="s">
        <f>=XIRR(BG2:BG6,BF2:BF6)</f>
      </c>
      <c r="BH7" s="0"/>
      <c r="BI7" s="11" t="n">
        <v>45576</v>
      </c>
      <c r="BJ7" s="6" t="n">
        <v>-35.5</v>
      </c>
      <c r="BK7" s="0" t="s">
        <v>624</v>
      </c>
      <c r="BL7" s="0"/>
      <c r="BM7" s="0"/>
      <c r="BN7" s="0"/>
      <c r="BO7" s="11" t="n">
        <v>46078</v>
      </c>
      <c r="BP7" s="8" t="s">
        <f>=-Портфель!J24</f>
      </c>
      <c r="BQ7" s="0" t="s">
        <v>913</v>
      </c>
      <c r="BR7" s="0"/>
      <c r="BS7" s="0"/>
      <c r="BT7" s="0"/>
      <c r="BU7" s="0"/>
      <c r="BV7" s="0"/>
      <c r="BW7" s="0"/>
      <c r="BX7" s="11" t="n">
        <v>45075</v>
      </c>
      <c r="BY7" s="6" t="s">
        <f>=733.46</f>
      </c>
      <c r="BZ7" s="0" t="s">
        <v>912</v>
      </c>
      <c r="CA7" s="11" t="n">
        <v>45280</v>
      </c>
      <c r="CB7" s="6" t="s">
        <f>=-131.94</f>
      </c>
      <c r="CC7" s="0" t="s">
        <v>490</v>
      </c>
      <c r="CD7" s="11" t="n">
        <v>45387</v>
      </c>
      <c r="CE7" s="6" t="s">
        <f>=809.72</f>
      </c>
      <c r="CF7" s="0" t="s">
        <v>912</v>
      </c>
      <c r="CG7" s="11" t="n">
        <v>45091</v>
      </c>
      <c r="CH7" s="6" t="s">
        <f>=726.23</f>
      </c>
      <c r="CI7" s="0" t="s">
        <v>912</v>
      </c>
      <c r="CJ7" s="11" t="n">
        <v>45742</v>
      </c>
      <c r="CK7" s="6" t="s">
        <f>=-299.2</f>
      </c>
      <c r="CL7" s="0" t="s">
        <v>707</v>
      </c>
      <c r="CM7" s="11" t="n">
        <v>45714</v>
      </c>
      <c r="CN7" s="6" t="s">
        <f>=822.39</f>
      </c>
      <c r="CO7" s="0" t="s">
        <v>912</v>
      </c>
      <c r="CP7" s="11" t="n">
        <v>45147</v>
      </c>
      <c r="CQ7" s="6" t="s">
        <f>=1568.52</f>
      </c>
      <c r="CR7" s="0" t="s">
        <v>912</v>
      </c>
      <c r="CS7" s="11" t="n">
        <v>45184</v>
      </c>
      <c r="CT7" s="6" t="s">
        <f>=776.85</f>
      </c>
      <c r="CU7" s="0" t="s">
        <v>912</v>
      </c>
      <c r="CV7" s="11" t="n">
        <v>45245</v>
      </c>
      <c r="CW7" s="6" t="s">
        <f>=-130.29</f>
      </c>
      <c r="CX7" s="0" t="s">
        <v>476</v>
      </c>
      <c r="CY7" s="11" t="n">
        <v>45104</v>
      </c>
      <c r="CZ7" s="6" t="s">
        <f>=1541.26</f>
      </c>
      <c r="DA7" s="0" t="s">
        <v>912</v>
      </c>
      <c r="DB7" s="11" t="n">
        <v>45714</v>
      </c>
      <c r="DC7" s="6" t="s">
        <f>=829.25</f>
      </c>
      <c r="DD7" s="0" t="s">
        <v>912</v>
      </c>
      <c r="DE7" s="11" t="n">
        <v>45441</v>
      </c>
      <c r="DF7" s="6" t="s">
        <f>=-284.22</f>
      </c>
      <c r="DG7" s="0" t="s">
        <v>551</v>
      </c>
      <c r="DH7" s="11" t="n">
        <v>45869</v>
      </c>
      <c r="DI7" s="6" t="s">
        <f>=937.83</f>
      </c>
      <c r="DJ7" s="0" t="s">
        <v>912</v>
      </c>
      <c r="DK7" s="11" t="n">
        <v>45356</v>
      </c>
      <c r="DL7" s="6" t="s">
        <f>=840.66</f>
      </c>
      <c r="DM7" s="0" t="s">
        <v>912</v>
      </c>
      <c r="DN7" s="11" t="n">
        <v>45387</v>
      </c>
      <c r="DO7" s="6" t="s">
        <f>=724.94</f>
      </c>
      <c r="DP7" s="0" t="s">
        <v>912</v>
      </c>
      <c r="DQ7" s="11" t="n">
        <v>45387</v>
      </c>
      <c r="DR7" s="6" t="s">
        <f>=898.68</f>
      </c>
      <c r="DS7" s="0" t="s">
        <v>912</v>
      </c>
      <c r="DT7" s="11" t="n">
        <v>45506</v>
      </c>
      <c r="DU7" s="6" t="s">
        <f>=746.13</f>
      </c>
      <c r="DV7" s="0" t="s">
        <v>912</v>
      </c>
      <c r="DW7" s="11" t="n">
        <v>45184</v>
      </c>
      <c r="DX7" s="6" t="s">
        <f>=779.89</f>
      </c>
      <c r="DY7" s="0" t="s">
        <v>912</v>
      </c>
      <c r="DZ7" s="11" t="n">
        <v>45267</v>
      </c>
      <c r="EA7" s="6" t="s">
        <f>=926.38</f>
      </c>
      <c r="EB7" s="0" t="s">
        <v>912</v>
      </c>
      <c r="EC7" s="11" t="n">
        <v>45447</v>
      </c>
      <c r="ED7" s="6" t="s">
        <f>=1075.09</f>
      </c>
      <c r="EE7" s="0" t="s">
        <v>912</v>
      </c>
      <c r="EF7" s="11" t="n">
        <v>46027</v>
      </c>
      <c r="EG7" s="6" t="s">
        <f>=881.08</f>
      </c>
      <c r="EH7" s="0" t="s">
        <v>912</v>
      </c>
      <c r="EI7" s="11" t="n">
        <v>46027</v>
      </c>
      <c r="EJ7" s="6" t="s">
        <f>=869.65</f>
      </c>
      <c r="EK7" s="0" t="s">
        <v>912</v>
      </c>
      <c r="EL7" s="11" t="n">
        <v>45870</v>
      </c>
      <c r="EM7" s="6" t="s">
        <f>=-239.36</f>
      </c>
      <c r="EN7" s="0" t="s">
        <v>813</v>
      </c>
      <c r="EO7" s="11" t="n">
        <v>45686</v>
      </c>
      <c r="EP7" s="6" t="s">
        <f>=-137.64</f>
      </c>
      <c r="EQ7" s="0" t="s">
        <v>683</v>
      </c>
      <c r="ER7" s="11" t="n">
        <v>45196</v>
      </c>
      <c r="ES7" s="6" t="s">
        <f>=-59.96</f>
      </c>
      <c r="ET7" s="0" t="s">
        <v>460</v>
      </c>
      <c r="EU7" s="11" t="n">
        <v>45884</v>
      </c>
      <c r="EV7" s="6" t="s">
        <f>=-207.44</f>
      </c>
      <c r="EW7" s="0" t="s">
        <v>820</v>
      </c>
      <c r="EX7" s="11" t="n">
        <v>45721</v>
      </c>
      <c r="EY7" s="6" t="s">
        <f>=-179.52</f>
      </c>
      <c r="EZ7" s="0" t="s">
        <v>604</v>
      </c>
      <c r="FA7" s="11" t="n">
        <v>46078</v>
      </c>
      <c r="FB7" s="8" t="s">
        <f>=-Портфель!J55</f>
      </c>
      <c r="FC7" s="0" t="s">
        <v>913</v>
      </c>
      <c r="FD7" s="0"/>
      <c r="FE7" s="8" t="s">
        <f>=-SUM(FE2:FE5)</f>
      </c>
      <c r="FF7" s="0" t="s">
        <v>914</v>
      </c>
      <c r="FG7" s="11" t="n">
        <v>45804</v>
      </c>
      <c r="FH7" s="6" t="s">
        <f>=-74.79</f>
      </c>
      <c r="FI7" s="0" t="s">
        <v>696</v>
      </c>
      <c r="FJ7" s="11" t="n">
        <v>46073</v>
      </c>
      <c r="FK7" s="6" t="s">
        <f>=-134.64</f>
      </c>
      <c r="FL7" s="0" t="s">
        <v>822</v>
      </c>
      <c r="FM7" s="11" t="n">
        <v>46178</v>
      </c>
      <c r="FN7" s="8" t="s">
        <f>=-Портфель!J59</f>
      </c>
      <c r="FO7" s="0" t="s">
        <v>913</v>
      </c>
      <c r="FP7" s="0"/>
      <c r="FQ7" s="0"/>
      <c r="FR7" s="0"/>
      <c r="FS7" s="0"/>
      <c r="FT7" s="8" t="s">
        <f>=-SUM(FT2:FT5)</f>
      </c>
      <c r="FU7" s="0" t="s">
        <v>914</v>
      </c>
      <c r="FV7" s="0"/>
      <c r="FW7" s="8" t="s">
        <f>=-SUM(FW2:FW5)</f>
      </c>
      <c r="FX7" s="0" t="s">
        <v>914</v>
      </c>
      <c r="FY7" s="0"/>
      <c r="FZ7" s="8" t="s">
        <f>=-SUM(FZ2:FZ5)</f>
      </c>
      <c r="GA7" s="0" t="s">
        <v>914</v>
      </c>
      <c r="GB7" s="0"/>
      <c r="GC7" s="0"/>
      <c r="GD7" s="0"/>
      <c r="GE7" s="11" t="n">
        <v>45719</v>
      </c>
      <c r="GF7" s="6" t="s">
        <f>=-39.9</f>
      </c>
      <c r="GG7" s="0" t="s">
        <v>603</v>
      </c>
      <c r="GH7" s="11" t="n">
        <v>45282</v>
      </c>
      <c r="GI7" s="6" t="s">
        <f>=-25.92</f>
      </c>
      <c r="GJ7" s="0" t="s">
        <v>491</v>
      </c>
      <c r="GK7" s="11" t="n">
        <v>45592</v>
      </c>
      <c r="GL7" s="6" t="s">
        <f>=-33.04</f>
      </c>
      <c r="GM7" s="0" t="s">
        <v>634</v>
      </c>
      <c r="GN7" s="0"/>
      <c r="GO7" s="0"/>
      <c r="GP7" s="0"/>
      <c r="GQ7" s="0"/>
      <c r="GR7" s="0"/>
      <c r="GS7" s="0"/>
      <c r="GT7" s="11" t="n">
        <v>45813</v>
      </c>
      <c r="GU7" s="6" t="s">
        <f>=885.97</f>
      </c>
      <c r="GV7" s="0" t="s">
        <v>912</v>
      </c>
      <c r="GW7" s="11" t="n">
        <v>46078</v>
      </c>
      <c r="GX7" s="8" t="s">
        <f>=-Портфель!J71</f>
      </c>
      <c r="GY7" s="0" t="s">
        <v>913</v>
      </c>
      <c r="GZ7" s="11" t="n">
        <v>46035</v>
      </c>
      <c r="HA7" s="6" t="s">
        <f>=-49.86</f>
      </c>
      <c r="HB7" s="0" t="s">
        <v>791</v>
      </c>
      <c r="HC7" s="0"/>
      <c r="HD7" s="10" t="s">
        <f>=XIRR(HD2:HD6,HC2:HC6)</f>
      </c>
      <c r="HE7" s="0"/>
      <c r="HF7" s="0"/>
      <c r="HG7" s="10" t="s">
        <f>=XIRR(HG2:HG6,HF2:HF6)</f>
      </c>
      <c r="HH7" s="0"/>
      <c r="HI7" s="11" t="n">
        <v>45776</v>
      </c>
      <c r="HJ7" s="6" t="s">
        <f>=-58.34</f>
      </c>
      <c r="HK7" s="0" t="s">
        <v>635</v>
      </c>
      <c r="HL7" s="11" t="n">
        <v>46003</v>
      </c>
      <c r="HM7" s="6" t="s">
        <f>=-35.66</f>
      </c>
      <c r="HN7" s="0" t="s">
        <v>701</v>
      </c>
      <c r="HO7" s="11" t="n">
        <v>45964</v>
      </c>
      <c r="HP7" s="6" t="s">
        <f>=-3.28</f>
      </c>
      <c r="HQ7" s="0" t="s">
        <v>784</v>
      </c>
      <c r="HR7" s="11" t="n">
        <v>45905</v>
      </c>
      <c r="HS7" s="6" t="s">
        <f>=-19.11</f>
      </c>
      <c r="HT7" s="0" t="s">
        <v>743</v>
      </c>
      <c r="HU7" s="0"/>
      <c r="HV7" s="8" t="s">
        <f>=-SUM(HV2:HV5)</f>
      </c>
      <c r="HW7" s="0" t="s">
        <v>914</v>
      </c>
      <c r="HX7" s="11" t="n">
        <v>45721</v>
      </c>
      <c r="HY7" s="6" t="s">
        <f>=-87.01</f>
      </c>
      <c r="HZ7" s="0" t="s">
        <v>699</v>
      </c>
      <c r="IA7" s="0"/>
      <c r="IB7" s="0"/>
      <c r="IC7" s="0"/>
      <c r="ID7" s="11" t="n">
        <v>45919</v>
      </c>
      <c r="IE7" s="6" t="s">
        <f>=-20.96</f>
      </c>
      <c r="IF7" s="0" t="s">
        <v>757</v>
      </c>
      <c r="IG7" s="0"/>
      <c r="IH7" s="0"/>
      <c r="II7" s="0"/>
      <c r="IJ7" s="11" t="n">
        <v>45926</v>
      </c>
      <c r="IK7" s="6" t="s">
        <f>=-19.48</f>
      </c>
      <c r="IL7" s="0" t="s">
        <v>763</v>
      </c>
      <c r="IM7" s="0"/>
      <c r="IN7" s="0"/>
      <c r="IO7" s="0"/>
      <c r="IP7" s="11" t="n">
        <v>45877</v>
      </c>
      <c r="IQ7" s="6" t="s">
        <f>=-18.16</f>
      </c>
      <c r="IR7" s="0" t="s">
        <v>817</v>
      </c>
      <c r="IS7" s="11" t="n">
        <v>45261</v>
      </c>
      <c r="IT7" s="6" t="s">
        <f>=-24.81</f>
      </c>
      <c r="IU7" s="0" t="s">
        <v>379</v>
      </c>
      <c r="IV7" s="0"/>
      <c r="IW7" s="0"/>
      <c r="IX7" s="0"/>
      <c r="IY7" s="11" t="n">
        <v>45993</v>
      </c>
      <c r="IZ7" s="6" t="s">
        <f>=-29.17</f>
      </c>
      <c r="JA7" s="0" t="s">
        <v>651</v>
      </c>
      <c r="JB7" s="0"/>
      <c r="JC7" s="8" t="s">
        <f>=-SUM(JC2:JC5)</f>
      </c>
      <c r="JD7" s="0" t="s">
        <v>914</v>
      </c>
      <c r="JE7" s="11" t="n">
        <v>45588</v>
      </c>
      <c r="JF7" s="6" t="s">
        <f>=-48.3</f>
      </c>
      <c r="JG7" s="0" t="s">
        <v>631</v>
      </c>
      <c r="JH7" s="11" t="n">
        <v>45734</v>
      </c>
      <c r="JI7" s="6" t="s">
        <f>=-39.39</f>
      </c>
      <c r="JJ7" s="0" t="s">
        <v>399</v>
      </c>
      <c r="JK7" s="11" t="n">
        <v>45496</v>
      </c>
      <c r="JL7" s="6" t="s">
        <f>=-14.59</f>
      </c>
      <c r="JM7" s="0" t="s">
        <v>580</v>
      </c>
      <c r="JN7" s="11" t="n">
        <v>45995</v>
      </c>
      <c r="JO7" s="6" t="s">
        <f>=-35.53</f>
      </c>
      <c r="JP7" s="0" t="s">
        <v>659</v>
      </c>
      <c r="JQ7" s="0"/>
      <c r="JR7" s="8" t="s">
        <f>=-SUM(JR2:JR5)</f>
      </c>
      <c r="JS7" s="0" t="s">
        <v>914</v>
      </c>
      <c r="JT7" s="11" t="n">
        <v>45861</v>
      </c>
      <c r="JU7" s="6" t="s">
        <f>=-43.38</f>
      </c>
      <c r="JV7" s="0" t="s">
        <v>439</v>
      </c>
      <c r="JW7" s="11" t="n">
        <v>45321</v>
      </c>
      <c r="JX7" s="6" t="s">
        <f>=-28.22</f>
      </c>
      <c r="JY7" s="0" t="s">
        <v>387</v>
      </c>
      <c r="JZ7" s="11" t="n">
        <v>45595</v>
      </c>
      <c r="KA7" s="6" t="s">
        <f>=-44.89</f>
      </c>
      <c r="KB7" s="0" t="s">
        <v>636</v>
      </c>
      <c r="KC7" s="11" t="n">
        <v>45653</v>
      </c>
      <c r="KD7" s="6" t="s">
        <f>=-52.66</f>
      </c>
      <c r="KE7" s="0" t="s">
        <v>671</v>
      </c>
      <c r="KF7" s="11" t="n">
        <v>45961</v>
      </c>
      <c r="KG7" s="6" t="s">
        <f>=-23.86</f>
      </c>
      <c r="KH7" s="0" t="s">
        <v>637</v>
      </c>
      <c r="KI7" s="0"/>
      <c r="KJ7" s="8" t="s">
        <f>=-SUM(KJ2:KJ5)</f>
      </c>
      <c r="KK7" s="0" t="s">
        <v>914</v>
      </c>
      <c r="KL7" s="11" t="n">
        <v>45945</v>
      </c>
      <c r="KM7" s="6" t="s">
        <f>=-26.18</f>
      </c>
      <c r="KN7" s="0" t="s">
        <v>626</v>
      </c>
      <c r="KO7" s="0"/>
      <c r="KP7" s="10" t="s">
        <f>=XIRR(KP2:KP6,KO2:KO6)</f>
      </c>
      <c r="KQ7" s="0"/>
      <c r="KR7" s="11" t="n">
        <v>45689</v>
      </c>
      <c r="KS7" s="6" t="s">
        <f>=-53.1</f>
      </c>
      <c r="KT7" s="0" t="s">
        <v>448</v>
      </c>
      <c r="KU7" s="0"/>
      <c r="KV7" s="10" t="s">
        <f>=XIRR(KV2:KV6,KU2:KU6)</f>
      </c>
      <c r="KW7" s="0"/>
      <c r="KX7" s="11" t="n">
        <v>45886</v>
      </c>
      <c r="KY7" s="6" t="s">
        <f>=-17.87</f>
      </c>
      <c r="KZ7" s="0" t="s">
        <v>821</v>
      </c>
      <c r="LA7" s="11" t="n">
        <v>45994</v>
      </c>
      <c r="LB7" s="6" t="s">
        <f>=-19.55</f>
      </c>
      <c r="LC7" s="0" t="s">
        <v>655</v>
      </c>
      <c r="LD7" s="11" t="n">
        <v>45680</v>
      </c>
      <c r="LE7" s="6" t="s">
        <f>=-11.18</f>
      </c>
      <c r="LF7" s="0" t="s">
        <v>613</v>
      </c>
      <c r="LG7" s="0"/>
      <c r="LH7" s="8" t="s">
        <f>=-SUM(LH2:LH5)</f>
      </c>
      <c r="LI7" s="0" t="s">
        <v>914</v>
      </c>
      <c r="LJ7" s="11" t="n">
        <v>45266</v>
      </c>
      <c r="LK7" s="6" t="s">
        <f>=-19.87</f>
      </c>
      <c r="LL7" s="0" t="s">
        <v>381</v>
      </c>
      <c r="LM7" s="11" t="n">
        <v>45344</v>
      </c>
      <c r="LN7" s="6" t="s">
        <f>=-10.83</f>
      </c>
      <c r="LO7" s="0" t="s">
        <v>419</v>
      </c>
      <c r="LP7" s="11" t="n">
        <v>45677</v>
      </c>
      <c r="LQ7" s="6" t="s">
        <f>=-165</f>
      </c>
      <c r="LR7" s="0" t="s">
        <v>675</v>
      </c>
    </row>
    <row collapsed="false" customFormat="false" customHeight="false" hidden="false" ht="12.1" outlineLevel="0" r="8">
      <c r="A8" s="11" t="n">
        <v>45198</v>
      </c>
      <c r="B8" s="6" t="n">
        <v>2615.22</v>
      </c>
      <c r="C8" s="0" t="s">
        <v>912</v>
      </c>
      <c r="D8" s="0"/>
      <c r="E8" s="8" t="s">
        <f>=-SUM(E2:E6)</f>
      </c>
      <c r="F8" s="0" t="s">
        <v>914</v>
      </c>
      <c r="G8" s="0"/>
      <c r="H8" s="10" t="s">
        <f>=XIRR(H2:H7,G2:G7)</f>
      </c>
      <c r="I8" s="0"/>
      <c r="J8" s="11" t="n">
        <v>45855</v>
      </c>
      <c r="K8" s="6" t="n">
        <v>-231</v>
      </c>
      <c r="L8" s="0" t="s">
        <v>796</v>
      </c>
      <c r="M8" s="11" t="n">
        <v>45988</v>
      </c>
      <c r="N8" s="6" t="n">
        <v>1503.3</v>
      </c>
      <c r="O8" s="0" t="s">
        <v>912</v>
      </c>
      <c r="P8" s="11" t="n">
        <v>45729</v>
      </c>
      <c r="Q8" s="6" t="n">
        <v>1644.22</v>
      </c>
      <c r="R8" s="0" t="s">
        <v>912</v>
      </c>
      <c r="S8" s="11" t="n">
        <v>46078</v>
      </c>
      <c r="T8" s="8" t="s">
        <f>=-Портфель!J8</f>
      </c>
      <c r="U8" s="0" t="s">
        <v>913</v>
      </c>
      <c r="V8" s="11" t="n">
        <v>45482</v>
      </c>
      <c r="W8" s="6" t="n">
        <v>-25.17</v>
      </c>
      <c r="X8" s="0" t="s">
        <v>572</v>
      </c>
      <c r="Y8" s="11" t="n">
        <v>45244</v>
      </c>
      <c r="Z8" s="6" t="n">
        <v>428.28</v>
      </c>
      <c r="AA8" s="0" t="s">
        <v>912</v>
      </c>
      <c r="AB8" s="0"/>
      <c r="AC8" s="8" t="s">
        <f>=-SUM(AC2:AC6)</f>
      </c>
      <c r="AD8" s="0" t="s">
        <v>914</v>
      </c>
      <c r="AE8" s="0"/>
      <c r="AF8" s="10" t="s">
        <f>=XIRR(AF2:AF7,AE2:AE7)</f>
      </c>
      <c r="AG8" s="0"/>
      <c r="AH8" s="11" t="n">
        <v>45356</v>
      </c>
      <c r="AI8" s="6" t="n">
        <v>475.72</v>
      </c>
      <c r="AJ8" s="0" t="s">
        <v>912</v>
      </c>
      <c r="AK8" s="0"/>
      <c r="AL8" s="8" t="s">
        <f>=-SUM(AL2:AL6)</f>
      </c>
      <c r="AM8" s="0" t="s">
        <v>914</v>
      </c>
      <c r="AN8" s="0"/>
      <c r="AO8" s="0"/>
      <c r="AP8" s="0"/>
      <c r="AQ8" s="11" t="n">
        <v>45856</v>
      </c>
      <c r="AR8" s="6" t="n">
        <v>-316.2</v>
      </c>
      <c r="AS8" s="0" t="s">
        <v>801</v>
      </c>
      <c r="AT8" s="11" t="n">
        <v>45639</v>
      </c>
      <c r="AU8" s="6" t="n">
        <v>511.73</v>
      </c>
      <c r="AV8" s="0" t="s">
        <v>912</v>
      </c>
      <c r="AW8" s="0"/>
      <c r="AX8" s="0"/>
      <c r="AY8" s="0"/>
      <c r="AZ8" s="0"/>
      <c r="BA8" s="8" t="s">
        <f>=-SUM(BA2:BA6)</f>
      </c>
      <c r="BB8" s="0" t="s">
        <v>914</v>
      </c>
      <c r="BC8" s="0"/>
      <c r="BD8" s="8" t="s">
        <f>=-SUM(BD2:BD6)</f>
      </c>
      <c r="BE8" s="0" t="s">
        <v>914</v>
      </c>
      <c r="BF8" s="0"/>
      <c r="BG8" s="8" t="s">
        <f>=-SUM(BG2:BG6)</f>
      </c>
      <c r="BH8" s="0" t="s">
        <v>914</v>
      </c>
      <c r="BI8" s="11" t="n">
        <v>45775</v>
      </c>
      <c r="BJ8" s="6" t="n">
        <v>-46.65</v>
      </c>
      <c r="BK8" s="0" t="s">
        <v>733</v>
      </c>
      <c r="BL8" s="0"/>
      <c r="BM8" s="0"/>
      <c r="BN8" s="0"/>
      <c r="BO8" s="0"/>
      <c r="BP8" s="10" t="s">
        <f>=XIRR(BP2:BP7,BO2:BO7)</f>
      </c>
      <c r="BQ8" s="0"/>
      <c r="BR8" s="0"/>
      <c r="BS8" s="0"/>
      <c r="BT8" s="0"/>
      <c r="BU8" s="0"/>
      <c r="BV8" s="0"/>
      <c r="BW8" s="0"/>
      <c r="BX8" s="11" t="n">
        <v>45085</v>
      </c>
      <c r="BY8" s="6" t="s">
        <f>=1463.11</f>
      </c>
      <c r="BZ8" s="0" t="s">
        <v>912</v>
      </c>
      <c r="CA8" s="11" t="n">
        <v>45303</v>
      </c>
      <c r="CB8" s="6" t="s">
        <f>=2115.05</f>
      </c>
      <c r="CC8" s="0" t="s">
        <v>912</v>
      </c>
      <c r="CD8" s="11" t="n">
        <v>45447</v>
      </c>
      <c r="CE8" s="6" t="s">
        <f>=725.16</f>
      </c>
      <c r="CF8" s="0" t="s">
        <v>912</v>
      </c>
      <c r="CG8" s="11" t="n">
        <v>45104</v>
      </c>
      <c r="CH8" s="6" t="s">
        <f>=1438.4</f>
      </c>
      <c r="CI8" s="0" t="s">
        <v>912</v>
      </c>
      <c r="CJ8" s="11" t="n">
        <v>45776</v>
      </c>
      <c r="CK8" s="6" t="s">
        <f>=837.69</f>
      </c>
      <c r="CL8" s="0" t="s">
        <v>912</v>
      </c>
      <c r="CM8" s="11" t="n">
        <v>45714</v>
      </c>
      <c r="CN8" s="6" t="s">
        <f>=822.39</f>
      </c>
      <c r="CO8" s="0" t="s">
        <v>912</v>
      </c>
      <c r="CP8" s="11" t="n">
        <v>45184</v>
      </c>
      <c r="CQ8" s="6" t="s">
        <f>=763.63</f>
      </c>
      <c r="CR8" s="0" t="s">
        <v>912</v>
      </c>
      <c r="CS8" s="11" t="n">
        <v>45203</v>
      </c>
      <c r="CT8" s="6" t="s">
        <f>=-191.95</f>
      </c>
      <c r="CU8" s="0" t="s">
        <v>463</v>
      </c>
      <c r="CV8" s="11" t="n">
        <v>45427</v>
      </c>
      <c r="CW8" s="6" t="s">
        <f>=-173.52</f>
      </c>
      <c r="CX8" s="0" t="s">
        <v>541</v>
      </c>
      <c r="CY8" s="11" t="n">
        <v>45154</v>
      </c>
      <c r="CZ8" s="6" t="s">
        <f>=-244.3</f>
      </c>
      <c r="DA8" s="0" t="s">
        <v>449</v>
      </c>
      <c r="DB8" s="11" t="n">
        <v>45776</v>
      </c>
      <c r="DC8" s="6" t="s">
        <f>=873.64</f>
      </c>
      <c r="DD8" s="0" t="s">
        <v>912</v>
      </c>
      <c r="DE8" s="11" t="n">
        <v>45506</v>
      </c>
      <c r="DF8" s="6" t="s">
        <f>=757.91</f>
      </c>
      <c r="DG8" s="0" t="s">
        <v>912</v>
      </c>
      <c r="DH8" s="11" t="n">
        <v>45869</v>
      </c>
      <c r="DI8" s="6" t="s">
        <f>=937.83</f>
      </c>
      <c r="DJ8" s="0" t="s">
        <v>912</v>
      </c>
      <c r="DK8" s="11" t="n">
        <v>45399</v>
      </c>
      <c r="DL8" s="6" t="s">
        <f>=-190.75</f>
      </c>
      <c r="DM8" s="0" t="s">
        <v>533</v>
      </c>
      <c r="DN8" s="11" t="n">
        <v>45387</v>
      </c>
      <c r="DO8" s="6" t="s">
        <f>=724.95</f>
      </c>
      <c r="DP8" s="0" t="s">
        <v>912</v>
      </c>
      <c r="DQ8" s="11" t="n">
        <v>45506</v>
      </c>
      <c r="DR8" s="6" t="s">
        <f>=852.79</f>
      </c>
      <c r="DS8" s="0" t="s">
        <v>912</v>
      </c>
      <c r="DT8" s="11" t="n">
        <v>45560</v>
      </c>
      <c r="DU8" s="6" t="s">
        <f>=-211.9</f>
      </c>
      <c r="DV8" s="0" t="s">
        <v>614</v>
      </c>
      <c r="DW8" s="11" t="n">
        <v>45184</v>
      </c>
      <c r="DX8" s="6" t="s">
        <f>=780.39</f>
      </c>
      <c r="DY8" s="0" t="s">
        <v>912</v>
      </c>
      <c r="DZ8" s="11" t="n">
        <v>45434</v>
      </c>
      <c r="EA8" s="6" t="s">
        <f>=-81.78</f>
      </c>
      <c r="EB8" s="0" t="s">
        <v>546</v>
      </c>
      <c r="EC8" s="11" t="n">
        <v>45447</v>
      </c>
      <c r="ED8" s="6" t="s">
        <f>=1075.09</f>
      </c>
      <c r="EE8" s="0" t="s">
        <v>912</v>
      </c>
      <c r="EF8" s="11" t="n">
        <v>46027</v>
      </c>
      <c r="EG8" s="6" t="s">
        <f>=881.08</f>
      </c>
      <c r="EH8" s="0" t="s">
        <v>912</v>
      </c>
      <c r="EI8" s="11" t="n">
        <v>46027</v>
      </c>
      <c r="EJ8" s="6" t="s">
        <f>=869.65</f>
      </c>
      <c r="EK8" s="0" t="s">
        <v>912</v>
      </c>
      <c r="EL8" s="11" t="n">
        <v>46052</v>
      </c>
      <c r="EM8" s="6" t="s">
        <f>=-239.36</f>
      </c>
      <c r="EN8" s="0" t="s">
        <v>813</v>
      </c>
      <c r="EO8" s="11" t="n">
        <v>45868</v>
      </c>
      <c r="EP8" s="6" t="s">
        <f>=-137.64</f>
      </c>
      <c r="EQ8" s="0" t="s">
        <v>683</v>
      </c>
      <c r="ER8" s="11" t="n">
        <v>45378</v>
      </c>
      <c r="ES8" s="6" t="s">
        <f>=-62.64</f>
      </c>
      <c r="ET8" s="0" t="s">
        <v>524</v>
      </c>
      <c r="EU8" s="11" t="n">
        <v>46066</v>
      </c>
      <c r="EV8" s="6" t="s">
        <f>=-207.44</f>
      </c>
      <c r="EW8" s="0" t="s">
        <v>820</v>
      </c>
      <c r="EX8" s="11" t="n">
        <v>45903</v>
      </c>
      <c r="EY8" s="6" t="s">
        <f>=-179.52</f>
      </c>
      <c r="EZ8" s="0" t="s">
        <v>604</v>
      </c>
      <c r="FA8" s="0"/>
      <c r="FB8" s="10" t="s">
        <f>=XIRR(FB2:FB7,FA2:FA7)</f>
      </c>
      <c r="FC8" s="0"/>
      <c r="FD8" s="0"/>
      <c r="FE8" s="0"/>
      <c r="FF8" s="0"/>
      <c r="FG8" s="11" t="n">
        <v>45895</v>
      </c>
      <c r="FH8" s="6" t="s">
        <f>=-74.79</f>
      </c>
      <c r="FI8" s="0" t="s">
        <v>696</v>
      </c>
      <c r="FJ8" s="11" t="n">
        <v>46078</v>
      </c>
      <c r="FK8" s="8" t="s">
        <f>=-Портфель!J58</f>
      </c>
      <c r="FL8" s="0" t="s">
        <v>913</v>
      </c>
      <c r="FM8" s="0"/>
      <c r="FN8" s="10" t="s">
        <f>=XIRR(FN2:FN7,FM2:FM7)</f>
      </c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11" t="n">
        <v>45810</v>
      </c>
      <c r="GF8" s="6" t="s">
        <f>=-39.9</f>
      </c>
      <c r="GG8" s="0" t="s">
        <v>603</v>
      </c>
      <c r="GH8" s="11" t="n">
        <v>45313</v>
      </c>
      <c r="GI8" s="6" t="s">
        <f>=-27.98</f>
      </c>
      <c r="GJ8" s="0" t="s">
        <v>498</v>
      </c>
      <c r="GK8" s="11" t="n">
        <v>45622</v>
      </c>
      <c r="GL8" s="6" t="s">
        <f>=-33.04</f>
      </c>
      <c r="GM8" s="0" t="s">
        <v>634</v>
      </c>
      <c r="GN8" s="0"/>
      <c r="GO8" s="0"/>
      <c r="GP8" s="0"/>
      <c r="GQ8" s="0"/>
      <c r="GR8" s="0"/>
      <c r="GS8" s="0"/>
      <c r="GT8" s="11" t="n">
        <v>45993</v>
      </c>
      <c r="GU8" s="6" t="s">
        <f>=-112.2</f>
      </c>
      <c r="GV8" s="0" t="s">
        <v>861</v>
      </c>
      <c r="GW8" s="0"/>
      <c r="GX8" s="10" t="s">
        <f>=XIRR(GX2:GX7,GW2:GW7)</f>
      </c>
      <c r="GY8" s="0"/>
      <c r="GZ8" s="11" t="n">
        <v>46094</v>
      </c>
      <c r="HA8" s="8" t="s">
        <f>=-Портфель!J72</f>
      </c>
      <c r="HB8" s="0" t="s">
        <v>913</v>
      </c>
      <c r="HC8" s="0"/>
      <c r="HD8" s="8" t="s">
        <f>=-SUM(HD2:HD6)</f>
      </c>
      <c r="HE8" s="0" t="s">
        <v>914</v>
      </c>
      <c r="HF8" s="0"/>
      <c r="HG8" s="8" t="s">
        <f>=-SUM(HG2:HG6)</f>
      </c>
      <c r="HH8" s="0" t="s">
        <v>914</v>
      </c>
      <c r="HI8" s="11" t="n">
        <v>45867</v>
      </c>
      <c r="HJ8" s="6" t="s">
        <f>=-58.34</f>
      </c>
      <c r="HK8" s="0" t="s">
        <v>635</v>
      </c>
      <c r="HL8" s="11" t="n">
        <v>46078</v>
      </c>
      <c r="HM8" s="8" t="s">
        <f>=-Портфель!J76</f>
      </c>
      <c r="HN8" s="0" t="s">
        <v>913</v>
      </c>
      <c r="HO8" s="11" t="n">
        <v>45994</v>
      </c>
      <c r="HP8" s="6" t="s">
        <f>=-3.28</f>
      </c>
      <c r="HQ8" s="0" t="s">
        <v>784</v>
      </c>
      <c r="HR8" s="11" t="n">
        <v>45935</v>
      </c>
      <c r="HS8" s="6" t="s">
        <f>=-19.11</f>
      </c>
      <c r="HT8" s="0" t="s">
        <v>743</v>
      </c>
      <c r="HU8" s="0"/>
      <c r="HV8" s="0"/>
      <c r="HW8" s="0"/>
      <c r="HX8" s="11" t="n">
        <v>45903</v>
      </c>
      <c r="HY8" s="6" t="s">
        <f>=-106.71</f>
      </c>
      <c r="HZ8" s="0" t="s">
        <v>825</v>
      </c>
      <c r="IA8" s="0"/>
      <c r="IB8" s="0"/>
      <c r="IC8" s="0"/>
      <c r="ID8" s="11" t="n">
        <v>45949</v>
      </c>
      <c r="IE8" s="6" t="s">
        <f>=-20.96</f>
      </c>
      <c r="IF8" s="0" t="s">
        <v>757</v>
      </c>
      <c r="IG8" s="0"/>
      <c r="IH8" s="0"/>
      <c r="II8" s="0"/>
      <c r="IJ8" s="11" t="n">
        <v>45956</v>
      </c>
      <c r="IK8" s="6" t="s">
        <f>=-19.48</f>
      </c>
      <c r="IL8" s="0" t="s">
        <v>763</v>
      </c>
      <c r="IM8" s="0"/>
      <c r="IN8" s="0"/>
      <c r="IO8" s="0"/>
      <c r="IP8" s="11" t="n">
        <v>45908</v>
      </c>
      <c r="IQ8" s="6" t="s">
        <f>=-17.45</f>
      </c>
      <c r="IR8" s="0" t="s">
        <v>826</v>
      </c>
      <c r="IS8" s="11" t="n">
        <v>45352</v>
      </c>
      <c r="IT8" s="6" t="s">
        <f>=-24.81</f>
      </c>
      <c r="IU8" s="0" t="s">
        <v>379</v>
      </c>
      <c r="IV8" s="0"/>
      <c r="IW8" s="0"/>
      <c r="IX8" s="0"/>
      <c r="IY8" s="11" t="n">
        <v>46078</v>
      </c>
      <c r="IZ8" s="8" t="s">
        <f>=-Портфель!J89</f>
      </c>
      <c r="JA8" s="0" t="s">
        <v>913</v>
      </c>
      <c r="JB8" s="0"/>
      <c r="JC8" s="0"/>
      <c r="JD8" s="0"/>
      <c r="JE8" s="11" t="n">
        <v>45679</v>
      </c>
      <c r="JF8" s="6" t="s">
        <f>=-55.05</f>
      </c>
      <c r="JG8" s="0" t="s">
        <v>677</v>
      </c>
      <c r="JH8" s="11" t="n">
        <v>45916</v>
      </c>
      <c r="JI8" s="6" t="s">
        <f>=-39.39</f>
      </c>
      <c r="JJ8" s="0" t="s">
        <v>399</v>
      </c>
      <c r="JK8" s="11" t="n">
        <v>45527</v>
      </c>
      <c r="JL8" s="6" t="s">
        <f>=-14.54</f>
      </c>
      <c r="JM8" s="0" t="s">
        <v>519</v>
      </c>
      <c r="JN8" s="11" t="n">
        <v>46078</v>
      </c>
      <c r="JO8" s="8" t="s">
        <f>=-Портфель!J94</f>
      </c>
      <c r="JP8" s="0" t="s">
        <v>913</v>
      </c>
      <c r="JQ8" s="0"/>
      <c r="JR8" s="0"/>
      <c r="JS8" s="0"/>
      <c r="JT8" s="11" t="n">
        <v>46043</v>
      </c>
      <c r="JU8" s="6" t="s">
        <f>=-43.38</f>
      </c>
      <c r="JV8" s="0" t="s">
        <v>439</v>
      </c>
      <c r="JW8" s="11" t="n">
        <v>45412</v>
      </c>
      <c r="JX8" s="6" t="s">
        <f>=-28.22</f>
      </c>
      <c r="JY8" s="0" t="s">
        <v>387</v>
      </c>
      <c r="JZ8" s="11" t="n">
        <v>45686</v>
      </c>
      <c r="KA8" s="6" t="s">
        <f>=-51.52</f>
      </c>
      <c r="KB8" s="0" t="s">
        <v>684</v>
      </c>
      <c r="KC8" s="11" t="n">
        <v>45834</v>
      </c>
      <c r="KD8" s="6" t="s">
        <f>=-400</f>
      </c>
      <c r="KE8" s="0" t="s">
        <v>569</v>
      </c>
      <c r="KF8" s="11" t="n">
        <v>46052</v>
      </c>
      <c r="KG8" s="6" t="s">
        <f>=-23.86</f>
      </c>
      <c r="KH8" s="0" t="s">
        <v>637</v>
      </c>
      <c r="KI8" s="0"/>
      <c r="KJ8" s="0"/>
      <c r="KK8" s="0"/>
      <c r="KL8" s="11" t="n">
        <v>46036</v>
      </c>
      <c r="KM8" s="6" t="s">
        <f>=-26.18</f>
      </c>
      <c r="KN8" s="0" t="s">
        <v>626</v>
      </c>
      <c r="KO8" s="0"/>
      <c r="KP8" s="8" t="s">
        <f>=-SUM(KP2:KP6)</f>
      </c>
      <c r="KQ8" s="0" t="s">
        <v>914</v>
      </c>
      <c r="KR8" s="11" t="n">
        <v>45871</v>
      </c>
      <c r="KS8" s="6" t="s">
        <f>=-53.1</f>
      </c>
      <c r="KT8" s="0" t="s">
        <v>448</v>
      </c>
      <c r="KU8" s="0"/>
      <c r="KV8" s="8" t="s">
        <f>=-SUM(KV2:KV6)</f>
      </c>
      <c r="KW8" s="0" t="s">
        <v>914</v>
      </c>
      <c r="KX8" s="11" t="n">
        <v>45917</v>
      </c>
      <c r="KY8" s="6" t="s">
        <f>=-16.86</f>
      </c>
      <c r="KZ8" s="0" t="s">
        <v>827</v>
      </c>
      <c r="LA8" s="11" t="n">
        <v>46078</v>
      </c>
      <c r="LB8" s="8" t="s">
        <f>=-Портфель!J107</f>
      </c>
      <c r="LC8" s="0" t="s">
        <v>913</v>
      </c>
      <c r="LD8" s="11" t="n">
        <v>45710</v>
      </c>
      <c r="LE8" s="6" t="s">
        <f>=-11.18</f>
      </c>
      <c r="LF8" s="0" t="s">
        <v>613</v>
      </c>
      <c r="LG8" s="0"/>
      <c r="LH8" s="0"/>
      <c r="LI8" s="0"/>
      <c r="LJ8" s="11" t="n">
        <v>45357</v>
      </c>
      <c r="LK8" s="6" t="s">
        <f>=-19.87</f>
      </c>
      <c r="LL8" s="0" t="s">
        <v>381</v>
      </c>
      <c r="LM8" s="11" t="n">
        <v>45435</v>
      </c>
      <c r="LN8" s="6" t="s">
        <f>=-8.66</f>
      </c>
      <c r="LO8" s="0" t="s">
        <v>549</v>
      </c>
      <c r="LP8" s="11" t="n">
        <v>45678</v>
      </c>
      <c r="LQ8" s="6" t="s">
        <f>=-34.28</f>
      </c>
      <c r="LR8" s="0" t="s">
        <v>499</v>
      </c>
    </row>
    <row collapsed="false" customFormat="false" customHeight="false" hidden="false" ht="12.1" outlineLevel="0" r="9">
      <c r="A9" s="11" t="n">
        <v>45219</v>
      </c>
      <c r="B9" s="6" t="n">
        <v>2680.72</v>
      </c>
      <c r="C9" s="0" t="s">
        <v>912</v>
      </c>
      <c r="D9" s="0"/>
      <c r="E9" s="0"/>
      <c r="F9" s="0"/>
      <c r="G9" s="0"/>
      <c r="H9" s="8" t="s">
        <f>=-SUM(H2:H7)</f>
      </c>
      <c r="I9" s="0" t="s">
        <v>914</v>
      </c>
      <c r="J9" s="11" t="n">
        <v>45936</v>
      </c>
      <c r="K9" s="6" t="n">
        <v>-245</v>
      </c>
      <c r="L9" s="0" t="s">
        <v>836</v>
      </c>
      <c r="M9" s="11" t="n">
        <v>46078</v>
      </c>
      <c r="N9" s="8" t="s">
        <f>=-Портфель!J6</f>
      </c>
      <c r="O9" s="0" t="s">
        <v>913</v>
      </c>
      <c r="P9" s="11" t="n">
        <v>46078</v>
      </c>
      <c r="Q9" s="8" t="s">
        <f>=-Портфель!J7</f>
      </c>
      <c r="R9" s="0" t="s">
        <v>913</v>
      </c>
      <c r="S9" s="0"/>
      <c r="T9" s="10" t="s">
        <f>=XIRR(T2:T8,S2:S8)</f>
      </c>
      <c r="U9" s="0"/>
      <c r="V9" s="11" t="n">
        <v>45573</v>
      </c>
      <c r="W9" s="6" t="n">
        <v>-38.2</v>
      </c>
      <c r="X9" s="0" t="s">
        <v>622</v>
      </c>
      <c r="Y9" s="11" t="n">
        <v>45324</v>
      </c>
      <c r="Z9" s="6" t="n">
        <v>406.52</v>
      </c>
      <c r="AA9" s="0" t="s">
        <v>912</v>
      </c>
      <c r="AB9" s="0"/>
      <c r="AC9" s="0"/>
      <c r="AD9" s="0"/>
      <c r="AE9" s="0"/>
      <c r="AF9" s="8" t="s">
        <f>=-SUM(AF2:AF7)</f>
      </c>
      <c r="AG9" s="0" t="s">
        <v>914</v>
      </c>
      <c r="AH9" s="11" t="n">
        <v>45541</v>
      </c>
      <c r="AI9" s="6" t="n">
        <v>698.97</v>
      </c>
      <c r="AJ9" s="0" t="s">
        <v>912</v>
      </c>
      <c r="AK9" s="0"/>
      <c r="AL9" s="0"/>
      <c r="AM9" s="0"/>
      <c r="AN9" s="0"/>
      <c r="AO9" s="0"/>
      <c r="AP9" s="0"/>
      <c r="AQ9" s="11" t="n">
        <v>46078</v>
      </c>
      <c r="AR9" s="8" t="s">
        <f>=-Портфель!J16</f>
      </c>
      <c r="AS9" s="0" t="s">
        <v>913</v>
      </c>
      <c r="AT9" s="11" t="n">
        <v>45882</v>
      </c>
      <c r="AU9" s="6" t="n">
        <v>-135.5</v>
      </c>
      <c r="AV9" s="0" t="s">
        <v>819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11" t="n">
        <v>45936</v>
      </c>
      <c r="BJ9" s="6" t="n">
        <v>-35.5</v>
      </c>
      <c r="BK9" s="0" t="s">
        <v>624</v>
      </c>
      <c r="BL9" s="0"/>
      <c r="BM9" s="0"/>
      <c r="BN9" s="0"/>
      <c r="BO9" s="0"/>
      <c r="BP9" s="8" t="s">
        <f>=-SUM(BP2:BP7)</f>
      </c>
      <c r="BQ9" s="0" t="s">
        <v>914</v>
      </c>
      <c r="BR9" s="0"/>
      <c r="BS9" s="0"/>
      <c r="BT9" s="0"/>
      <c r="BU9" s="0"/>
      <c r="BV9" s="0"/>
      <c r="BW9" s="0"/>
      <c r="BX9" s="11" t="n">
        <v>45104</v>
      </c>
      <c r="BY9" s="6" t="s">
        <f>=1453.76</f>
      </c>
      <c r="BZ9" s="0" t="s">
        <v>912</v>
      </c>
      <c r="CA9" s="11" t="n">
        <v>45351</v>
      </c>
      <c r="CB9" s="6" t="s">
        <f>=1075.01</f>
      </c>
      <c r="CC9" s="0" t="s">
        <v>912</v>
      </c>
      <c r="CD9" s="11" t="n">
        <v>45448</v>
      </c>
      <c r="CE9" s="6" t="s">
        <f>=-390.96</f>
      </c>
      <c r="CF9" s="0" t="s">
        <v>557</v>
      </c>
      <c r="CG9" s="11" t="n">
        <v>45184</v>
      </c>
      <c r="CH9" s="6" t="s">
        <f>=702.08</f>
      </c>
      <c r="CI9" s="0" t="s">
        <v>912</v>
      </c>
      <c r="CJ9" s="11" t="n">
        <v>45869</v>
      </c>
      <c r="CK9" s="6" t="s">
        <f>=940.63</f>
      </c>
      <c r="CL9" s="0" t="s">
        <v>912</v>
      </c>
      <c r="CM9" s="11" t="n">
        <v>45714</v>
      </c>
      <c r="CN9" s="6" t="s">
        <f>=822.2</f>
      </c>
      <c r="CO9" s="0" t="s">
        <v>912</v>
      </c>
      <c r="CP9" s="11" t="n">
        <v>45184</v>
      </c>
      <c r="CQ9" s="6" t="s">
        <f>=763.59</f>
      </c>
      <c r="CR9" s="0" t="s">
        <v>912</v>
      </c>
      <c r="CS9" s="11" t="n">
        <v>45240</v>
      </c>
      <c r="CT9" s="6" t="s">
        <f>=746.54</f>
      </c>
      <c r="CU9" s="0" t="s">
        <v>912</v>
      </c>
      <c r="CV9" s="11" t="n">
        <v>45447</v>
      </c>
      <c r="CW9" s="6" t="s">
        <f>=1067.75</f>
      </c>
      <c r="CX9" s="0" t="s">
        <v>912</v>
      </c>
      <c r="CY9" s="11" t="n">
        <v>45184</v>
      </c>
      <c r="CZ9" s="6" t="s">
        <f>=720.42</f>
      </c>
      <c r="DA9" s="0" t="s">
        <v>912</v>
      </c>
      <c r="DB9" s="11" t="n">
        <v>45805</v>
      </c>
      <c r="DC9" s="6" t="s">
        <f>=-366.48</f>
      </c>
      <c r="DD9" s="0" t="s">
        <v>761</v>
      </c>
      <c r="DE9" s="11" t="n">
        <v>45566</v>
      </c>
      <c r="DF9" s="6" t="s">
        <f>=731.87</f>
      </c>
      <c r="DG9" s="0" t="s">
        <v>912</v>
      </c>
      <c r="DH9" s="11" t="n">
        <v>45876</v>
      </c>
      <c r="DI9" s="6" t="s">
        <f>=945.94</f>
      </c>
      <c r="DJ9" s="0" t="s">
        <v>912</v>
      </c>
      <c r="DK9" s="11" t="n">
        <v>45447</v>
      </c>
      <c r="DL9" s="6" t="s">
        <f>=743.9</f>
      </c>
      <c r="DM9" s="0" t="s">
        <v>912</v>
      </c>
      <c r="DN9" s="11" t="n">
        <v>45447</v>
      </c>
      <c r="DO9" s="6" t="s">
        <f>=690.86</f>
      </c>
      <c r="DP9" s="0" t="s">
        <v>912</v>
      </c>
      <c r="DQ9" s="11" t="n">
        <v>45560</v>
      </c>
      <c r="DR9" s="6" t="s">
        <f>=-392.7</f>
      </c>
      <c r="DS9" s="0" t="s">
        <v>612</v>
      </c>
      <c r="DT9" s="11" t="n">
        <v>45566</v>
      </c>
      <c r="DU9" s="6" t="s">
        <f>=682.15</f>
      </c>
      <c r="DV9" s="0" t="s">
        <v>912</v>
      </c>
      <c r="DW9" s="11" t="n">
        <v>45240</v>
      </c>
      <c r="DX9" s="6" t="s">
        <f>=791.63</f>
      </c>
      <c r="DY9" s="0" t="s">
        <v>912</v>
      </c>
      <c r="DZ9" s="11" t="n">
        <v>45616</v>
      </c>
      <c r="EA9" s="6" t="s">
        <f>=-84.9</f>
      </c>
      <c r="EB9" s="0" t="s">
        <v>643</v>
      </c>
      <c r="EC9" s="11" t="n">
        <v>45506</v>
      </c>
      <c r="ED9" s="6" t="s">
        <f>=1099.94</f>
      </c>
      <c r="EE9" s="0" t="s">
        <v>912</v>
      </c>
      <c r="EF9" s="11" t="n">
        <v>46266</v>
      </c>
      <c r="EG9" s="8" t="s">
        <f>=-Портфель!J48</f>
      </c>
      <c r="EH9" s="0" t="s">
        <v>913</v>
      </c>
      <c r="EI9" s="11" t="n">
        <v>46324</v>
      </c>
      <c r="EJ9" s="8" t="s">
        <f>=-Портфель!J49</f>
      </c>
      <c r="EK9" s="0" t="s">
        <v>913</v>
      </c>
      <c r="EL9" s="11" t="n">
        <v>46055</v>
      </c>
      <c r="EM9" s="6" t="s">
        <f>=931.4</f>
      </c>
      <c r="EN9" s="0" t="s">
        <v>912</v>
      </c>
      <c r="EO9" s="11" t="n">
        <v>45959</v>
      </c>
      <c r="EP9" s="6" t="s">
        <f>=725.28</f>
      </c>
      <c r="EQ9" s="0" t="s">
        <v>912</v>
      </c>
      <c r="ER9" s="11" t="n">
        <v>45560</v>
      </c>
      <c r="ES9" s="6" t="s">
        <f>=-65.04</f>
      </c>
      <c r="ET9" s="0" t="s">
        <v>611</v>
      </c>
      <c r="EU9" s="11" t="n">
        <v>46078</v>
      </c>
      <c r="EV9" s="8" t="s">
        <f>=-Портфель!J53</f>
      </c>
      <c r="EW9" s="0" t="s">
        <v>913</v>
      </c>
      <c r="EX9" s="11" t="n">
        <v>46078</v>
      </c>
      <c r="EY9" s="8" t="s">
        <f>=-Портфель!J54</f>
      </c>
      <c r="EZ9" s="0" t="s">
        <v>913</v>
      </c>
      <c r="FA9" s="0"/>
      <c r="FB9" s="8" t="s">
        <f>=-SUM(FB2:FB7)</f>
      </c>
      <c r="FC9" s="0" t="s">
        <v>914</v>
      </c>
      <c r="FD9" s="0"/>
      <c r="FE9" s="0"/>
      <c r="FF9" s="0"/>
      <c r="FG9" s="11" t="n">
        <v>45986</v>
      </c>
      <c r="FH9" s="6" t="s">
        <f>=-74.79</f>
      </c>
      <c r="FI9" s="0" t="s">
        <v>696</v>
      </c>
      <c r="FJ9" s="0"/>
      <c r="FK9" s="10" t="s">
        <f>=XIRR(FK2:FK8,FJ2:FJ8)</f>
      </c>
      <c r="FL9" s="0"/>
      <c r="FM9" s="0"/>
      <c r="FN9" s="8" t="s">
        <f>=-SUM(FN2:FN7)</f>
      </c>
      <c r="FO9" s="0" t="s">
        <v>914</v>
      </c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11" t="n">
        <v>45901</v>
      </c>
      <c r="GF9" s="6" t="s">
        <f>=-39.9</f>
      </c>
      <c r="GG9" s="0" t="s">
        <v>603</v>
      </c>
      <c r="GH9" s="11" t="n">
        <v>45344</v>
      </c>
      <c r="GI9" s="6" t="s">
        <f>=-28.6</f>
      </c>
      <c r="GJ9" s="0" t="s">
        <v>511</v>
      </c>
      <c r="GK9" s="11" t="n">
        <v>45652</v>
      </c>
      <c r="GL9" s="6" t="s">
        <f>=-36.32</f>
      </c>
      <c r="GM9" s="0" t="s">
        <v>669</v>
      </c>
      <c r="GN9" s="0"/>
      <c r="GO9" s="0"/>
      <c r="GP9" s="0"/>
      <c r="GQ9" s="0"/>
      <c r="GR9" s="0"/>
      <c r="GS9" s="0"/>
      <c r="GT9" s="11" t="n">
        <v>46078</v>
      </c>
      <c r="GU9" s="8" t="s">
        <f>=-Портфель!J70</f>
      </c>
      <c r="GV9" s="0" t="s">
        <v>913</v>
      </c>
      <c r="GW9" s="0"/>
      <c r="GX9" s="8" t="s">
        <f>=-SUM(GX2:GX7)</f>
      </c>
      <c r="GY9" s="0" t="s">
        <v>914</v>
      </c>
      <c r="GZ9" s="0"/>
      <c r="HA9" s="10" t="s">
        <f>=XIRR(HA2:HA8,GZ2:GZ8)</f>
      </c>
      <c r="HB9" s="0"/>
      <c r="HC9" s="0"/>
      <c r="HD9" s="0"/>
      <c r="HE9" s="0"/>
      <c r="HF9" s="0"/>
      <c r="HG9" s="0"/>
      <c r="HH9" s="0"/>
      <c r="HI9" s="11" t="n">
        <v>45958</v>
      </c>
      <c r="HJ9" s="6" t="s">
        <f>=-58.34</f>
      </c>
      <c r="HK9" s="0" t="s">
        <v>635</v>
      </c>
      <c r="HL9" s="0"/>
      <c r="HM9" s="10" t="s">
        <f>=XIRR(HM2:HM8,HL2:HL8)</f>
      </c>
      <c r="HN9" s="0"/>
      <c r="HO9" s="11" t="n">
        <v>46024</v>
      </c>
      <c r="HP9" s="6" t="s">
        <f>=-3.28</f>
      </c>
      <c r="HQ9" s="0" t="s">
        <v>784</v>
      </c>
      <c r="HR9" s="11" t="n">
        <v>45965</v>
      </c>
      <c r="HS9" s="6" t="s">
        <f>=-19.11</f>
      </c>
      <c r="HT9" s="0" t="s">
        <v>743</v>
      </c>
      <c r="HU9" s="0"/>
      <c r="HV9" s="0"/>
      <c r="HW9" s="0"/>
      <c r="HX9" s="11" t="n">
        <v>46078</v>
      </c>
      <c r="HY9" s="8" t="s">
        <f>=-Портфель!J80</f>
      </c>
      <c r="HZ9" s="0" t="s">
        <v>913</v>
      </c>
      <c r="IA9" s="0"/>
      <c r="IB9" s="0"/>
      <c r="IC9" s="0"/>
      <c r="ID9" s="11" t="n">
        <v>45979</v>
      </c>
      <c r="IE9" s="6" t="s">
        <f>=-20.96</f>
      </c>
      <c r="IF9" s="0" t="s">
        <v>757</v>
      </c>
      <c r="IG9" s="0"/>
      <c r="IH9" s="0"/>
      <c r="II9" s="0"/>
      <c r="IJ9" s="11" t="n">
        <v>45986</v>
      </c>
      <c r="IK9" s="6" t="s">
        <f>=-19.48</f>
      </c>
      <c r="IL9" s="0" t="s">
        <v>763</v>
      </c>
      <c r="IM9" s="0"/>
      <c r="IN9" s="0"/>
      <c r="IO9" s="0"/>
      <c r="IP9" s="11" t="n">
        <v>45939</v>
      </c>
      <c r="IQ9" s="6" t="s">
        <f>=-16.18</f>
      </c>
      <c r="IR9" s="0" t="s">
        <v>840</v>
      </c>
      <c r="IS9" s="11" t="n">
        <v>45443</v>
      </c>
      <c r="IT9" s="6" t="s">
        <f>=-24.81</f>
      </c>
      <c r="IU9" s="0" t="s">
        <v>379</v>
      </c>
      <c r="IV9" s="0"/>
      <c r="IW9" s="0"/>
      <c r="IX9" s="0"/>
      <c r="IY9" s="0"/>
      <c r="IZ9" s="10" t="s">
        <f>=XIRR(IZ2:IZ8,IY2:IY8)</f>
      </c>
      <c r="JA9" s="0"/>
      <c r="JB9" s="0"/>
      <c r="JC9" s="0"/>
      <c r="JD9" s="0"/>
      <c r="JE9" s="11" t="n">
        <v>45770</v>
      </c>
      <c r="JF9" s="6" t="s">
        <f>=-56.52</f>
      </c>
      <c r="JG9" s="0" t="s">
        <v>730</v>
      </c>
      <c r="JH9" s="11" t="n">
        <v>46078</v>
      </c>
      <c r="JI9" s="8" t="s">
        <f>=-Портфель!J92</f>
      </c>
      <c r="JJ9" s="0" t="s">
        <v>913</v>
      </c>
      <c r="JK9" s="11" t="n">
        <v>45558</v>
      </c>
      <c r="JL9" s="6" t="s">
        <f>=-15.3</f>
      </c>
      <c r="JM9" s="0" t="s">
        <v>609</v>
      </c>
      <c r="JN9" s="0"/>
      <c r="JO9" s="10" t="s">
        <f>=XIRR(JO2:JO8,JN2:JN8)</f>
      </c>
      <c r="JP9" s="0"/>
      <c r="JQ9" s="0"/>
      <c r="JR9" s="0"/>
      <c r="JS9" s="0"/>
      <c r="JT9" s="11" t="n">
        <v>46078</v>
      </c>
      <c r="JU9" s="8" t="s">
        <f>=-Портфель!J96</f>
      </c>
      <c r="JV9" s="0" t="s">
        <v>913</v>
      </c>
      <c r="JW9" s="11" t="n">
        <v>45503</v>
      </c>
      <c r="JX9" s="6" t="s">
        <f>=-28.22</f>
      </c>
      <c r="JY9" s="0" t="s">
        <v>387</v>
      </c>
      <c r="JZ9" s="11" t="n">
        <v>45777</v>
      </c>
      <c r="KA9" s="6" t="s">
        <f>=-52.59</f>
      </c>
      <c r="KB9" s="0" t="s">
        <v>736</v>
      </c>
      <c r="KC9" s="11" t="n">
        <v>45835</v>
      </c>
      <c r="KD9" s="6" t="s">
        <f>=-46.08</f>
      </c>
      <c r="KE9" s="0" t="s">
        <v>780</v>
      </c>
      <c r="KF9" s="11" t="n">
        <v>46078</v>
      </c>
      <c r="KG9" s="8" t="s">
        <f>=-Портфель!J100</f>
      </c>
      <c r="KH9" s="0" t="s">
        <v>913</v>
      </c>
      <c r="KI9" s="0"/>
      <c r="KJ9" s="0"/>
      <c r="KK9" s="0"/>
      <c r="KL9" s="11" t="n">
        <v>46078</v>
      </c>
      <c r="KM9" s="8" t="s">
        <f>=-Портфель!J102</f>
      </c>
      <c r="KN9" s="0" t="s">
        <v>913</v>
      </c>
      <c r="KO9" s="0"/>
      <c r="KP9" s="0"/>
      <c r="KQ9" s="0"/>
      <c r="KR9" s="11" t="n">
        <v>46053</v>
      </c>
      <c r="KS9" s="6" t="s">
        <f>=-53.1</f>
      </c>
      <c r="KT9" s="0" t="s">
        <v>448</v>
      </c>
      <c r="KU9" s="0"/>
      <c r="KV9" s="0"/>
      <c r="KW9" s="0"/>
      <c r="KX9" s="11" t="n">
        <v>45948</v>
      </c>
      <c r="KY9" s="6" t="s">
        <f>=-16.05</f>
      </c>
      <c r="KZ9" s="0" t="s">
        <v>843</v>
      </c>
      <c r="LA9" s="0"/>
      <c r="LB9" s="10" t="s">
        <f>=XIRR(LB2:LB8,LA2:LA8)</f>
      </c>
      <c r="LC9" s="0"/>
      <c r="LD9" s="11" t="n">
        <v>45740</v>
      </c>
      <c r="LE9" s="6" t="s">
        <f>=-11.18</f>
      </c>
      <c r="LF9" s="0" t="s">
        <v>613</v>
      </c>
      <c r="LG9" s="0"/>
      <c r="LH9" s="0"/>
      <c r="LI9" s="0"/>
      <c r="LJ9" s="11" t="n">
        <v>45448</v>
      </c>
      <c r="LK9" s="6" t="s">
        <f>=-19.87</f>
      </c>
      <c r="LL9" s="0" t="s">
        <v>381</v>
      </c>
      <c r="LM9" s="11" t="n">
        <v>45526</v>
      </c>
      <c r="LN9" s="6" t="s">
        <f>=-8.66</f>
      </c>
      <c r="LO9" s="0" t="s">
        <v>549</v>
      </c>
      <c r="LP9" s="11" t="n">
        <v>45768</v>
      </c>
      <c r="LQ9" s="6" t="s">
        <f>=-165</f>
      </c>
      <c r="LR9" s="0" t="s">
        <v>675</v>
      </c>
    </row>
    <row collapsed="false" customFormat="false" customHeight="false" hidden="false" ht="12.1" outlineLevel="0" r="10">
      <c r="A10" s="11" t="n">
        <v>45244</v>
      </c>
      <c r="B10" s="6" t="n">
        <v>2838.29</v>
      </c>
      <c r="C10" s="0" t="s">
        <v>912</v>
      </c>
      <c r="D10" s="0"/>
      <c r="E10" s="0"/>
      <c r="F10" s="0"/>
      <c r="G10" s="0"/>
      <c r="H10" s="0"/>
      <c r="I10" s="0"/>
      <c r="J10" s="11" t="n">
        <v>46030</v>
      </c>
      <c r="K10" s="6" t="n">
        <v>-252</v>
      </c>
      <c r="L10" s="0" t="s">
        <v>880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0"/>
      <c r="T10" s="8" t="s">
        <f>=-SUM(T2:T8)</f>
      </c>
      <c r="U10" s="0" t="s">
        <v>914</v>
      </c>
      <c r="V10" s="11" t="n">
        <v>45597</v>
      </c>
      <c r="W10" s="6" t="n">
        <v>540.52</v>
      </c>
      <c r="X10" s="0" t="s">
        <v>912</v>
      </c>
      <c r="Y10" s="11" t="n">
        <v>45356</v>
      </c>
      <c r="Z10" s="6" t="n">
        <v>407.77</v>
      </c>
      <c r="AA10" s="0" t="s">
        <v>912</v>
      </c>
      <c r="AB10" s="0"/>
      <c r="AC10" s="0"/>
      <c r="AD10" s="0"/>
      <c r="AE10" s="0"/>
      <c r="AF10" s="0"/>
      <c r="AG10" s="0"/>
      <c r="AH10" s="11" t="n">
        <v>45729</v>
      </c>
      <c r="AI10" s="6" t="n">
        <v>1784.74</v>
      </c>
      <c r="AJ10" s="0" t="s">
        <v>912</v>
      </c>
      <c r="AK10" s="0"/>
      <c r="AL10" s="0"/>
      <c r="AM10" s="0"/>
      <c r="AN10" s="0"/>
      <c r="AO10" s="0"/>
      <c r="AP10" s="0"/>
      <c r="AQ10" s="0"/>
      <c r="AR10" s="10" t="s">
        <f>=XIRR(AR2:AR9,AQ2:AQ9)</f>
      </c>
      <c r="AS10" s="0"/>
      <c r="AT10" s="11" t="n">
        <v>46078</v>
      </c>
      <c r="AU10" s="8" t="s">
        <f>=-Портфель!J17</f>
      </c>
      <c r="AV10" s="0" t="s">
        <v>913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46078</v>
      </c>
      <c r="BJ10" s="8" t="s">
        <f>=-Портфель!J22</f>
      </c>
      <c r="BK10" s="0" t="s">
        <v>913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11" t="n">
        <v>45114</v>
      </c>
      <c r="BY10" s="6" t="s">
        <f>=1449.34</f>
      </c>
      <c r="BZ10" s="0" t="s">
        <v>912</v>
      </c>
      <c r="CA10" s="11" t="n">
        <v>45356</v>
      </c>
      <c r="CB10" s="6" t="s">
        <f>=1076.54</f>
      </c>
      <c r="CC10" s="0" t="s">
        <v>912</v>
      </c>
      <c r="CD10" s="11" t="n">
        <v>45506</v>
      </c>
      <c r="CE10" s="6" t="s">
        <f>=709.44</f>
      </c>
      <c r="CF10" s="0" t="s">
        <v>912</v>
      </c>
      <c r="CG10" s="11" t="n">
        <v>45184</v>
      </c>
      <c r="CH10" s="6" t="s">
        <f>=702.08</f>
      </c>
      <c r="CI10" s="0" t="s">
        <v>912</v>
      </c>
      <c r="CJ10" s="11" t="n">
        <v>45876</v>
      </c>
      <c r="CK10" s="6" t="s">
        <f>=949.24</f>
      </c>
      <c r="CL10" s="0" t="s">
        <v>912</v>
      </c>
      <c r="CM10" s="11" t="n">
        <v>45776</v>
      </c>
      <c r="CN10" s="6" t="s">
        <f>=868.78</f>
      </c>
      <c r="CO10" s="0" t="s">
        <v>912</v>
      </c>
      <c r="CP10" s="11" t="n">
        <v>45189</v>
      </c>
      <c r="CQ10" s="6" t="s">
        <f>=-205.94</f>
      </c>
      <c r="CR10" s="0" t="s">
        <v>457</v>
      </c>
      <c r="CS10" s="11" t="n">
        <v>45267</v>
      </c>
      <c r="CT10" s="6" t="s">
        <f>=1458.68</f>
      </c>
      <c r="CU10" s="0" t="s">
        <v>912</v>
      </c>
      <c r="CV10" s="11" t="n">
        <v>45447</v>
      </c>
      <c r="CW10" s="6" t="s">
        <f>=1067.75</f>
      </c>
      <c r="CX10" s="0" t="s">
        <v>912</v>
      </c>
      <c r="CY10" s="11" t="n">
        <v>45184</v>
      </c>
      <c r="CZ10" s="6" t="s">
        <f>=720.42</f>
      </c>
      <c r="DA10" s="0" t="s">
        <v>912</v>
      </c>
      <c r="DB10" s="11" t="n">
        <v>45869</v>
      </c>
      <c r="DC10" s="6" t="s">
        <f>=924.95</f>
      </c>
      <c r="DD10" s="0" t="s">
        <v>912</v>
      </c>
      <c r="DE10" s="11" t="n">
        <v>45566</v>
      </c>
      <c r="DF10" s="6" t="s">
        <f>=732.37</f>
      </c>
      <c r="DG10" s="0" t="s">
        <v>912</v>
      </c>
      <c r="DH10" s="11" t="n">
        <v>45876</v>
      </c>
      <c r="DI10" s="6" t="s">
        <f>=945.73</f>
      </c>
      <c r="DJ10" s="0" t="s">
        <v>912</v>
      </c>
      <c r="DK10" s="11" t="n">
        <v>45447</v>
      </c>
      <c r="DL10" s="6" t="s">
        <f>=743.88</f>
      </c>
      <c r="DM10" s="0" t="s">
        <v>912</v>
      </c>
      <c r="DN10" s="11" t="n">
        <v>45506</v>
      </c>
      <c r="DO10" s="6" t="s">
        <f>=687.35</f>
      </c>
      <c r="DP10" s="0" t="s">
        <v>912</v>
      </c>
      <c r="DQ10" s="11" t="n">
        <v>45742</v>
      </c>
      <c r="DR10" s="6" t="s">
        <f>=-392.7</f>
      </c>
      <c r="DS10" s="0" t="s">
        <v>612</v>
      </c>
      <c r="DT10" s="11" t="n">
        <v>45566</v>
      </c>
      <c r="DU10" s="6" t="s">
        <f>=681.79</f>
      </c>
      <c r="DV10" s="0" t="s">
        <v>912</v>
      </c>
      <c r="DW10" s="11" t="n">
        <v>45252</v>
      </c>
      <c r="DX10" s="6" t="s">
        <f>=-216.9</f>
      </c>
      <c r="DY10" s="0" t="s">
        <v>479</v>
      </c>
      <c r="DZ10" s="11" t="n">
        <v>45798</v>
      </c>
      <c r="EA10" s="6" t="s">
        <f>=-89.94</f>
      </c>
      <c r="EB10" s="0" t="s">
        <v>754</v>
      </c>
      <c r="EC10" s="11" t="n">
        <v>45574</v>
      </c>
      <c r="ED10" s="6" t="s">
        <f>=-411.1</f>
      </c>
      <c r="EE10" s="0" t="s">
        <v>623</v>
      </c>
      <c r="EF10" s="0"/>
      <c r="EG10" s="10" t="s">
        <f>=XIRR(EG2:EG9,EF2:EF9)</f>
      </c>
      <c r="EH10" s="0"/>
      <c r="EI10" s="0"/>
      <c r="EJ10" s="10" t="s">
        <f>=XIRR(EJ2:EJ9,EI2:EI9)</f>
      </c>
      <c r="EK10" s="0"/>
      <c r="EL10" s="11" t="n">
        <v>46078</v>
      </c>
      <c r="EM10" s="8" t="s">
        <f>=-Портфель!J50</f>
      </c>
      <c r="EN10" s="0" t="s">
        <v>913</v>
      </c>
      <c r="EO10" s="11" t="n">
        <v>45959</v>
      </c>
      <c r="EP10" s="6" t="s">
        <f>=725.24</f>
      </c>
      <c r="EQ10" s="0" t="s">
        <v>912</v>
      </c>
      <c r="ER10" s="11" t="n">
        <v>45742</v>
      </c>
      <c r="ES10" s="6" t="s">
        <f>=-68.52</f>
      </c>
      <c r="ET10" s="0" t="s">
        <v>709</v>
      </c>
      <c r="EU10" s="0"/>
      <c r="EV10" s="10" t="s">
        <f>=XIRR(EV2:EV9,EU2:EU9)</f>
      </c>
      <c r="EW10" s="0"/>
      <c r="EX10" s="0"/>
      <c r="EY10" s="10" t="s">
        <f>=XIRR(EY2:EY9,EX2:EX9)</f>
      </c>
      <c r="EZ10" s="0"/>
      <c r="FA10" s="0"/>
      <c r="FB10" s="0"/>
      <c r="FC10" s="0"/>
      <c r="FD10" s="0"/>
      <c r="FE10" s="0"/>
      <c r="FF10" s="0"/>
      <c r="FG10" s="11" t="n">
        <v>46077</v>
      </c>
      <c r="FH10" s="6" t="s">
        <f>=-74.79</f>
      </c>
      <c r="FI10" s="0" t="s">
        <v>696</v>
      </c>
      <c r="FJ10" s="0"/>
      <c r="FK10" s="8" t="s">
        <f>=-SUM(FK2:FK8)</f>
      </c>
      <c r="FL10" s="0" t="s">
        <v>914</v>
      </c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11" t="n">
        <v>45992</v>
      </c>
      <c r="GF10" s="6" t="s">
        <f>=-39.9</f>
      </c>
      <c r="GG10" s="0" t="s">
        <v>603</v>
      </c>
      <c r="GH10" s="11" t="n">
        <v>45375</v>
      </c>
      <c r="GI10" s="6" t="s">
        <f>=-29.5</f>
      </c>
      <c r="GJ10" s="0" t="s">
        <v>521</v>
      </c>
      <c r="GK10" s="11" t="n">
        <v>45682</v>
      </c>
      <c r="GL10" s="6" t="s">
        <f>=-36.32</f>
      </c>
      <c r="GM10" s="0" t="s">
        <v>669</v>
      </c>
      <c r="GN10" s="0"/>
      <c r="GO10" s="0"/>
      <c r="GP10" s="0"/>
      <c r="GQ10" s="0"/>
      <c r="GR10" s="0"/>
      <c r="GS10" s="0"/>
      <c r="GT10" s="0"/>
      <c r="GU10" s="10" t="s">
        <f>=XIRR(GU2:GU9,GT2:GT9)</f>
      </c>
      <c r="GV10" s="0"/>
      <c r="GW10" s="0"/>
      <c r="GX10" s="0"/>
      <c r="GY10" s="0"/>
      <c r="GZ10" s="0"/>
      <c r="HA10" s="8" t="s">
        <f>=-SUM(HA2:HA8)</f>
      </c>
      <c r="HB10" s="0" t="s">
        <v>914</v>
      </c>
      <c r="HC10" s="0"/>
      <c r="HD10" s="0"/>
      <c r="HE10" s="0"/>
      <c r="HF10" s="0"/>
      <c r="HG10" s="0"/>
      <c r="HH10" s="0"/>
      <c r="HI10" s="11" t="n">
        <v>46048</v>
      </c>
      <c r="HJ10" s="6" t="s">
        <f>=-250</f>
      </c>
      <c r="HK10" s="0" t="s">
        <v>886</v>
      </c>
      <c r="HL10" s="0"/>
      <c r="HM10" s="8" t="s">
        <f>=-SUM(HM2:HM8)</f>
      </c>
      <c r="HN10" s="0" t="s">
        <v>914</v>
      </c>
      <c r="HO10" s="11" t="n">
        <v>46054</v>
      </c>
      <c r="HP10" s="6" t="s">
        <f>=-3.28</f>
      </c>
      <c r="HQ10" s="0" t="s">
        <v>784</v>
      </c>
      <c r="HR10" s="11" t="n">
        <v>45995</v>
      </c>
      <c r="HS10" s="6" t="s">
        <f>=-19.11</f>
      </c>
      <c r="HT10" s="0" t="s">
        <v>743</v>
      </c>
      <c r="HU10" s="0"/>
      <c r="HV10" s="0"/>
      <c r="HW10" s="0"/>
      <c r="HX10" s="0"/>
      <c r="HY10" s="10" t="s">
        <f>=XIRR(HY2:HY9,HX2:HX9)</f>
      </c>
      <c r="HZ10" s="0"/>
      <c r="IA10" s="0"/>
      <c r="IB10" s="0"/>
      <c r="IC10" s="0"/>
      <c r="ID10" s="11" t="n">
        <v>46009</v>
      </c>
      <c r="IE10" s="6" t="s">
        <f>=-20.96</f>
      </c>
      <c r="IF10" s="0" t="s">
        <v>757</v>
      </c>
      <c r="IG10" s="0"/>
      <c r="IH10" s="0"/>
      <c r="II10" s="0"/>
      <c r="IJ10" s="11" t="n">
        <v>46016</v>
      </c>
      <c r="IK10" s="6" t="s">
        <f>=-19.48</f>
      </c>
      <c r="IL10" s="0" t="s">
        <v>763</v>
      </c>
      <c r="IM10" s="0"/>
      <c r="IN10" s="0"/>
      <c r="IO10" s="0"/>
      <c r="IP10" s="11" t="n">
        <v>45970</v>
      </c>
      <c r="IQ10" s="6" t="s">
        <f>=-15.67</f>
      </c>
      <c r="IR10" s="0" t="s">
        <v>850</v>
      </c>
      <c r="IS10" s="11" t="n">
        <v>45534</v>
      </c>
      <c r="IT10" s="6" t="s">
        <f>=-24.81</f>
      </c>
      <c r="IU10" s="0" t="s">
        <v>379</v>
      </c>
      <c r="IV10" s="0"/>
      <c r="IW10" s="0"/>
      <c r="IX10" s="0"/>
      <c r="IY10" s="0"/>
      <c r="IZ10" s="8" t="s">
        <f>=-SUM(IZ2:IZ8)</f>
      </c>
      <c r="JA10" s="0" t="s">
        <v>914</v>
      </c>
      <c r="JB10" s="0"/>
      <c r="JC10" s="0"/>
      <c r="JD10" s="0"/>
      <c r="JE10" s="11" t="n">
        <v>45861</v>
      </c>
      <c r="JF10" s="6" t="s">
        <f>=-54.58</f>
      </c>
      <c r="JG10" s="0" t="s">
        <v>807</v>
      </c>
      <c r="JH10" s="0"/>
      <c r="JI10" s="10" t="s">
        <f>=XIRR(JI2:JI9,JH2:JH9)</f>
      </c>
      <c r="JJ10" s="0"/>
      <c r="JK10" s="11" t="n">
        <v>45589</v>
      </c>
      <c r="JL10" s="6" t="s">
        <f>=-16.6</f>
      </c>
      <c r="JM10" s="0" t="s">
        <v>632</v>
      </c>
      <c r="JN10" s="0"/>
      <c r="JO10" s="8" t="s">
        <f>=-SUM(JO2:JO8)</f>
      </c>
      <c r="JP10" s="0" t="s">
        <v>914</v>
      </c>
      <c r="JQ10" s="0"/>
      <c r="JR10" s="0"/>
      <c r="JS10" s="0"/>
      <c r="JT10" s="0"/>
      <c r="JU10" s="10" t="s">
        <f>=XIRR(JU2:JU9,JT2:JT9)</f>
      </c>
      <c r="JV10" s="0"/>
      <c r="JW10" s="11" t="n">
        <v>45594</v>
      </c>
      <c r="JX10" s="6" t="s">
        <f>=-28.22</f>
      </c>
      <c r="JY10" s="0" t="s">
        <v>387</v>
      </c>
      <c r="JZ10" s="11" t="n">
        <v>45868</v>
      </c>
      <c r="KA10" s="6" t="s">
        <f>=-50.42</f>
      </c>
      <c r="KB10" s="0" t="s">
        <v>812</v>
      </c>
      <c r="KC10" s="11" t="n">
        <v>46017</v>
      </c>
      <c r="KD10" s="6" t="s">
        <f>=-32.9</f>
      </c>
      <c r="KE10" s="0" t="s">
        <v>877</v>
      </c>
      <c r="KF10" s="0"/>
      <c r="KG10" s="10" t="s">
        <f>=XIRR(KG2:KG9,KF2:KF9)</f>
      </c>
      <c r="KH10" s="0"/>
      <c r="KI10" s="0"/>
      <c r="KJ10" s="0"/>
      <c r="KK10" s="0"/>
      <c r="KL10" s="0"/>
      <c r="KM10" s="10" t="s">
        <f>=XIRR(KM2:KM9,KL2:KL9)</f>
      </c>
      <c r="KN10" s="0"/>
      <c r="KO10" s="0"/>
      <c r="KP10" s="0"/>
      <c r="KQ10" s="0"/>
      <c r="KR10" s="11" t="n">
        <v>46078</v>
      </c>
      <c r="KS10" s="8" t="s">
        <f>=-Портфель!J104</f>
      </c>
      <c r="KT10" s="0" t="s">
        <v>913</v>
      </c>
      <c r="KU10" s="0"/>
      <c r="KV10" s="0"/>
      <c r="KW10" s="0"/>
      <c r="KX10" s="11" t="n">
        <v>45979</v>
      </c>
      <c r="KY10" s="6" t="s">
        <f>=-15.35</f>
      </c>
      <c r="KZ10" s="0" t="s">
        <v>854</v>
      </c>
      <c r="LA10" s="0"/>
      <c r="LB10" s="8" t="s">
        <f>=-SUM(LB2:LB8)</f>
      </c>
      <c r="LC10" s="0" t="s">
        <v>914</v>
      </c>
      <c r="LD10" s="11" t="n">
        <v>45770</v>
      </c>
      <c r="LE10" s="6" t="s">
        <f>=-11.18</f>
      </c>
      <c r="LF10" s="0" t="s">
        <v>613</v>
      </c>
      <c r="LG10" s="0"/>
      <c r="LH10" s="0"/>
      <c r="LI10" s="0"/>
      <c r="LJ10" s="11" t="n">
        <v>45539</v>
      </c>
      <c r="LK10" s="6" t="s">
        <f>=-19.87</f>
      </c>
      <c r="LL10" s="0" t="s">
        <v>381</v>
      </c>
      <c r="LM10" s="11" t="n">
        <v>45617</v>
      </c>
      <c r="LN10" s="6" t="s">
        <f>=-8.66</f>
      </c>
      <c r="LO10" s="0" t="s">
        <v>549</v>
      </c>
      <c r="LP10" s="11" t="n">
        <v>45769</v>
      </c>
      <c r="LQ10" s="6" t="s">
        <f>=-28.62</f>
      </c>
      <c r="LR10" s="0" t="s">
        <v>729</v>
      </c>
    </row>
    <row collapsed="false" customFormat="false" customHeight="false" hidden="false" ht="12.1" outlineLevel="0" r="11">
      <c r="A11" s="11" t="n">
        <v>45267</v>
      </c>
      <c r="B11" s="6" t="n">
        <v>2687.84</v>
      </c>
      <c r="C11" s="0" t="s">
        <v>912</v>
      </c>
      <c r="D11" s="0"/>
      <c r="E11" s="0"/>
      <c r="F11" s="0"/>
      <c r="G11" s="0"/>
      <c r="H11" s="0"/>
      <c r="I11" s="0"/>
      <c r="J11" s="11" t="n">
        <v>46078</v>
      </c>
      <c r="K11" s="8" t="s">
        <f>=-Портфель!J5</f>
      </c>
      <c r="L11" s="0" t="s">
        <v>913</v>
      </c>
      <c r="M11" s="0"/>
      <c r="N11" s="8" t="s">
        <f>=-SUM(N2:N9)</f>
      </c>
      <c r="O11" s="0" t="s">
        <v>914</v>
      </c>
      <c r="P11" s="0"/>
      <c r="Q11" s="8" t="s">
        <f>=-SUM(Q2:Q9)</f>
      </c>
      <c r="R11" s="0" t="s">
        <v>914</v>
      </c>
      <c r="S11" s="0"/>
      <c r="T11" s="0"/>
      <c r="U11" s="0"/>
      <c r="V11" s="11" t="n">
        <v>45639</v>
      </c>
      <c r="W11" s="6" t="n">
        <v>3377.9</v>
      </c>
      <c r="X11" s="0" t="s">
        <v>912</v>
      </c>
      <c r="Y11" s="11" t="n">
        <v>45446</v>
      </c>
      <c r="Z11" s="6" t="n">
        <v>-325.999263608</v>
      </c>
      <c r="AA11" s="0" t="s">
        <v>554</v>
      </c>
      <c r="AB11" s="0"/>
      <c r="AC11" s="0"/>
      <c r="AD11" s="0"/>
      <c r="AE11" s="0"/>
      <c r="AF11" s="0"/>
      <c r="AG11" s="0"/>
      <c r="AH11" s="11" t="n">
        <v>45849</v>
      </c>
      <c r="AI11" s="6" t="n">
        <v>-1279</v>
      </c>
      <c r="AJ11" s="0" t="s">
        <v>790</v>
      </c>
      <c r="AK11" s="0"/>
      <c r="AL11" s="0"/>
      <c r="AM11" s="0"/>
      <c r="AN11" s="0"/>
      <c r="AO11" s="0"/>
      <c r="AP11" s="0"/>
      <c r="AQ11" s="0"/>
      <c r="AR11" s="8" t="s">
        <f>=-SUM(AR2:AR9)</f>
      </c>
      <c r="AS11" s="0" t="s">
        <v>914</v>
      </c>
      <c r="AT11" s="0"/>
      <c r="AU11" s="10" t="s">
        <f>=XIRR(AU2:AU10,AT2:AT10)</f>
      </c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10" t="s">
        <f>=XIRR(BJ2:BJ10,BI2:BI10)</f>
      </c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11" t="n">
        <v>45140</v>
      </c>
      <c r="BY11" s="6" t="s">
        <f>=-304.2</f>
      </c>
      <c r="BZ11" s="0" t="s">
        <v>443</v>
      </c>
      <c r="CA11" s="11" t="n">
        <v>45462</v>
      </c>
      <c r="CB11" s="6" t="s">
        <f>=-460.39</f>
      </c>
      <c r="CC11" s="0" t="s">
        <v>563</v>
      </c>
      <c r="CD11" s="11" t="n">
        <v>45630</v>
      </c>
      <c r="CE11" s="6" t="s">
        <f>=-488.7</f>
      </c>
      <c r="CF11" s="0" t="s">
        <v>654</v>
      </c>
      <c r="CG11" s="11" t="n">
        <v>45184</v>
      </c>
      <c r="CH11" s="6" t="s">
        <f>=702.08</f>
      </c>
      <c r="CI11" s="0" t="s">
        <v>912</v>
      </c>
      <c r="CJ11" s="11" t="n">
        <v>45901</v>
      </c>
      <c r="CK11" s="6" t="s">
        <f>=961.97</f>
      </c>
      <c r="CL11" s="0" t="s">
        <v>912</v>
      </c>
      <c r="CM11" s="11" t="n">
        <v>45812</v>
      </c>
      <c r="CN11" s="6" t="s">
        <f>=-488.64</f>
      </c>
      <c r="CO11" s="0" t="s">
        <v>772</v>
      </c>
      <c r="CP11" s="11" t="n">
        <v>45267</v>
      </c>
      <c r="CQ11" s="6" t="s">
        <f>=737.64</f>
      </c>
      <c r="CR11" s="0" t="s">
        <v>912</v>
      </c>
      <c r="CS11" s="11" t="n">
        <v>45303</v>
      </c>
      <c r="CT11" s="6" t="s">
        <f>=1461.64</f>
      </c>
      <c r="CU11" s="0" t="s">
        <v>912</v>
      </c>
      <c r="CV11" s="11" t="n">
        <v>45506</v>
      </c>
      <c r="CW11" s="6" t="s">
        <f>=1098.65</f>
      </c>
      <c r="CX11" s="0" t="s">
        <v>912</v>
      </c>
      <c r="CY11" s="11" t="n">
        <v>45184</v>
      </c>
      <c r="CZ11" s="6" t="s">
        <f>=720.42</f>
      </c>
      <c r="DA11" s="0" t="s">
        <v>912</v>
      </c>
      <c r="DB11" s="11" t="n">
        <v>45876</v>
      </c>
      <c r="DC11" s="6" t="s">
        <f>=931.79</f>
      </c>
      <c r="DD11" s="0" t="s">
        <v>912</v>
      </c>
      <c r="DE11" s="11" t="n">
        <v>45623</v>
      </c>
      <c r="DF11" s="6" t="s">
        <f>=-426.33</f>
      </c>
      <c r="DG11" s="0" t="s">
        <v>647</v>
      </c>
      <c r="DH11" s="11" t="n">
        <v>45901</v>
      </c>
      <c r="DI11" s="6" t="s">
        <f>=959.81</f>
      </c>
      <c r="DJ11" s="0" t="s">
        <v>912</v>
      </c>
      <c r="DK11" s="11" t="n">
        <v>45506</v>
      </c>
      <c r="DL11" s="6" t="s">
        <f>=736.18</f>
      </c>
      <c r="DM11" s="0" t="s">
        <v>912</v>
      </c>
      <c r="DN11" s="11" t="n">
        <v>45566</v>
      </c>
      <c r="DO11" s="6" t="s">
        <f>=625.06</f>
      </c>
      <c r="DP11" s="0" t="s">
        <v>912</v>
      </c>
      <c r="DQ11" s="11" t="n">
        <v>45869</v>
      </c>
      <c r="DR11" s="6" t="s">
        <f>=925.1</f>
      </c>
      <c r="DS11" s="0" t="s">
        <v>912</v>
      </c>
      <c r="DT11" s="11" t="n">
        <v>45702</v>
      </c>
      <c r="DU11" s="6" t="s">
        <f>=765.95</f>
      </c>
      <c r="DV11" s="0" t="s">
        <v>912</v>
      </c>
      <c r="DW11" s="11" t="n">
        <v>45356</v>
      </c>
      <c r="DX11" s="6" t="s">
        <f>=739.35</f>
      </c>
      <c r="DY11" s="0" t="s">
        <v>912</v>
      </c>
      <c r="DZ11" s="11" t="n">
        <v>45980</v>
      </c>
      <c r="EA11" s="6" t="s">
        <f>=-91.98</f>
      </c>
      <c r="EB11" s="0" t="s">
        <v>856</v>
      </c>
      <c r="EC11" s="11" t="n">
        <v>45756</v>
      </c>
      <c r="ED11" s="6" t="s">
        <f>=-450.75</f>
      </c>
      <c r="EE11" s="0" t="s">
        <v>720</v>
      </c>
      <c r="EF11" s="0"/>
      <c r="EG11" s="8" t="s">
        <f>=-SUM(EG2:EG9)</f>
      </c>
      <c r="EH11" s="0" t="s">
        <v>914</v>
      </c>
      <c r="EI11" s="0"/>
      <c r="EJ11" s="8" t="s">
        <f>=-SUM(EJ2:EJ9)</f>
      </c>
      <c r="EK11" s="0" t="s">
        <v>914</v>
      </c>
      <c r="EL11" s="0"/>
      <c r="EM11" s="10" t="s">
        <f>=XIRR(EM2:EM10,EL2:EL10)</f>
      </c>
      <c r="EN11" s="0"/>
      <c r="EO11" s="11" t="n">
        <v>46050</v>
      </c>
      <c r="EP11" s="6" t="s">
        <f>=-206.46</f>
      </c>
      <c r="EQ11" s="0" t="s">
        <v>888</v>
      </c>
      <c r="ER11" s="11" t="n">
        <v>45924</v>
      </c>
      <c r="ES11" s="6" t="s">
        <f>=-71.24</f>
      </c>
      <c r="ET11" s="0" t="s">
        <v>830</v>
      </c>
      <c r="EU11" s="0"/>
      <c r="EV11" s="8" t="s">
        <f>=-SUM(EV2:EV9)</f>
      </c>
      <c r="EW11" s="0" t="s">
        <v>914</v>
      </c>
      <c r="EX11" s="0"/>
      <c r="EY11" s="8" t="s">
        <f>=-SUM(EY2:EY9)</f>
      </c>
      <c r="EZ11" s="0" t="s">
        <v>914</v>
      </c>
      <c r="FA11" s="0"/>
      <c r="FB11" s="0"/>
      <c r="FC11" s="0"/>
      <c r="FD11" s="0"/>
      <c r="FE11" s="0"/>
      <c r="FF11" s="0"/>
      <c r="FG11" s="11" t="n">
        <v>46078</v>
      </c>
      <c r="FH11" s="8" t="s">
        <f>=-Портфель!J57</f>
      </c>
      <c r="FI11" s="0" t="s">
        <v>913</v>
      </c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11" t="n">
        <v>46078</v>
      </c>
      <c r="GF11" s="8" t="s">
        <f>=-Портфель!J65</f>
      </c>
      <c r="GG11" s="0" t="s">
        <v>913</v>
      </c>
      <c r="GH11" s="11" t="n">
        <v>45406</v>
      </c>
      <c r="GI11" s="6" t="s">
        <f>=-29.18</f>
      </c>
      <c r="GJ11" s="0" t="s">
        <v>536</v>
      </c>
      <c r="GK11" s="11" t="n">
        <v>45712</v>
      </c>
      <c r="GL11" s="6" t="s">
        <f>=-36.32</f>
      </c>
      <c r="GM11" s="0" t="s">
        <v>669</v>
      </c>
      <c r="GN11" s="0"/>
      <c r="GO11" s="0"/>
      <c r="GP11" s="0"/>
      <c r="GQ11" s="0"/>
      <c r="GR11" s="0"/>
      <c r="GS11" s="0"/>
      <c r="GT11" s="0"/>
      <c r="GU11" s="8" t="s">
        <f>=-SUM(GU2:GU9)</f>
      </c>
      <c r="GV11" s="0" t="s">
        <v>914</v>
      </c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11" t="n">
        <v>46049</v>
      </c>
      <c r="HJ11" s="6" t="s">
        <f>=-58.34</f>
      </c>
      <c r="HK11" s="0" t="s">
        <v>635</v>
      </c>
      <c r="HL11" s="0"/>
      <c r="HM11" s="0"/>
      <c r="HN11" s="0"/>
      <c r="HO11" s="11" t="n">
        <v>46178</v>
      </c>
      <c r="HP11" s="8" t="s">
        <f>=-Портфель!J77</f>
      </c>
      <c r="HQ11" s="0" t="s">
        <v>913</v>
      </c>
      <c r="HR11" s="11" t="n">
        <v>46025</v>
      </c>
      <c r="HS11" s="6" t="s">
        <f>=-19.11</f>
      </c>
      <c r="HT11" s="0" t="s">
        <v>743</v>
      </c>
      <c r="HU11" s="0"/>
      <c r="HV11" s="0"/>
      <c r="HW11" s="0"/>
      <c r="HX11" s="0"/>
      <c r="HY11" s="8" t="s">
        <f>=-SUM(HY2:HY9)</f>
      </c>
      <c r="HZ11" s="0" t="s">
        <v>914</v>
      </c>
      <c r="IA11" s="0"/>
      <c r="IB11" s="0"/>
      <c r="IC11" s="0"/>
      <c r="ID11" s="11" t="n">
        <v>46039</v>
      </c>
      <c r="IE11" s="6" t="s">
        <f>=-20.96</f>
      </c>
      <c r="IF11" s="0" t="s">
        <v>757</v>
      </c>
      <c r="IG11" s="0"/>
      <c r="IH11" s="0"/>
      <c r="II11" s="0"/>
      <c r="IJ11" s="11" t="n">
        <v>46046</v>
      </c>
      <c r="IK11" s="6" t="s">
        <f>=-19.48</f>
      </c>
      <c r="IL11" s="0" t="s">
        <v>763</v>
      </c>
      <c r="IM11" s="0"/>
      <c r="IN11" s="0"/>
      <c r="IO11" s="0"/>
      <c r="IP11" s="11" t="n">
        <v>46001</v>
      </c>
      <c r="IQ11" s="6" t="s">
        <f>=-15.09</f>
      </c>
      <c r="IR11" s="0" t="s">
        <v>867</v>
      </c>
      <c r="IS11" s="11" t="n">
        <v>45625</v>
      </c>
      <c r="IT11" s="6" t="s">
        <f>=-24.81</f>
      </c>
      <c r="IU11" s="0" t="s">
        <v>379</v>
      </c>
      <c r="IV11" s="0"/>
      <c r="IW11" s="0"/>
      <c r="IX11" s="0"/>
      <c r="IY11" s="0"/>
      <c r="IZ11" s="0"/>
      <c r="JA11" s="0"/>
      <c r="JB11" s="0"/>
      <c r="JC11" s="0"/>
      <c r="JD11" s="0"/>
      <c r="JE11" s="11" t="n">
        <v>45952</v>
      </c>
      <c r="JF11" s="6" t="s">
        <f>=-47.7</f>
      </c>
      <c r="JG11" s="0" t="s">
        <v>846</v>
      </c>
      <c r="JH11" s="0"/>
      <c r="JI11" s="8" t="s">
        <f>=-SUM(JI2:JI9)</f>
      </c>
      <c r="JJ11" s="0" t="s">
        <v>914</v>
      </c>
      <c r="JK11" s="11" t="n">
        <v>45620</v>
      </c>
      <c r="JL11" s="6" t="s">
        <f>=-16.79</f>
      </c>
      <c r="JM11" s="0" t="s">
        <v>644</v>
      </c>
      <c r="JN11" s="0"/>
      <c r="JO11" s="0"/>
      <c r="JP11" s="0"/>
      <c r="JQ11" s="0"/>
      <c r="JR11" s="0"/>
      <c r="JS11" s="0"/>
      <c r="JT11" s="0"/>
      <c r="JU11" s="8" t="s">
        <f>=-SUM(JU2:JU9)</f>
      </c>
      <c r="JV11" s="0" t="s">
        <v>914</v>
      </c>
      <c r="JW11" s="11" t="n">
        <v>45685</v>
      </c>
      <c r="JX11" s="6" t="s">
        <f>=-28.22</f>
      </c>
      <c r="JY11" s="0" t="s">
        <v>387</v>
      </c>
      <c r="JZ11" s="11" t="n">
        <v>45959</v>
      </c>
      <c r="KA11" s="6" t="s">
        <f>=-43.31</f>
      </c>
      <c r="KB11" s="0" t="s">
        <v>847</v>
      </c>
      <c r="KC11" s="11" t="n">
        <v>46078</v>
      </c>
      <c r="KD11" s="8" t="s">
        <f>=-Портфель!J99</f>
      </c>
      <c r="KE11" s="0" t="s">
        <v>913</v>
      </c>
      <c r="KF11" s="0"/>
      <c r="KG11" s="8" t="s">
        <f>=-SUM(KG2:KG9)</f>
      </c>
      <c r="KH11" s="0" t="s">
        <v>914</v>
      </c>
      <c r="KI11" s="0"/>
      <c r="KJ11" s="0"/>
      <c r="KK11" s="0"/>
      <c r="KL11" s="0"/>
      <c r="KM11" s="8" t="s">
        <f>=-SUM(KM2:KM9)</f>
      </c>
      <c r="KN11" s="0" t="s">
        <v>914</v>
      </c>
      <c r="KO11" s="0"/>
      <c r="KP11" s="0"/>
      <c r="KQ11" s="0"/>
      <c r="KR11" s="0"/>
      <c r="KS11" s="10" t="s">
        <f>=XIRR(KS2:KS10,KR2:KR10)</f>
      </c>
      <c r="KT11" s="0"/>
      <c r="KU11" s="0"/>
      <c r="KV11" s="0"/>
      <c r="KW11" s="0"/>
      <c r="KX11" s="11" t="n">
        <v>46010</v>
      </c>
      <c r="KY11" s="6" t="s">
        <f>=-14.92</f>
      </c>
      <c r="KZ11" s="0" t="s">
        <v>870</v>
      </c>
      <c r="LA11" s="0"/>
      <c r="LB11" s="0"/>
      <c r="LC11" s="0"/>
      <c r="LD11" s="11" t="n">
        <v>45800</v>
      </c>
      <c r="LE11" s="6" t="s">
        <f>=-11.18</f>
      </c>
      <c r="LF11" s="0" t="s">
        <v>613</v>
      </c>
      <c r="LG11" s="0"/>
      <c r="LH11" s="0"/>
      <c r="LI11" s="0"/>
      <c r="LJ11" s="11" t="n">
        <v>45630</v>
      </c>
      <c r="LK11" s="6" t="s">
        <f>=-19.87</f>
      </c>
      <c r="LL11" s="0" t="s">
        <v>381</v>
      </c>
      <c r="LM11" s="11" t="n">
        <v>45707</v>
      </c>
      <c r="LN11" s="6" t="s">
        <f>=-125</f>
      </c>
      <c r="LO11" s="0" t="s">
        <v>510</v>
      </c>
      <c r="LP11" s="11" t="n">
        <v>45859</v>
      </c>
      <c r="LQ11" s="6" t="s">
        <f>=-165</f>
      </c>
      <c r="LR11" s="0" t="s">
        <v>675</v>
      </c>
    </row>
    <row collapsed="false" customFormat="false" customHeight="false" hidden="false" ht="12.1" outlineLevel="0" r="12">
      <c r="A12" s="11" t="n">
        <v>45324</v>
      </c>
      <c r="B12" s="6" t="n">
        <v>2776.6</v>
      </c>
      <c r="C12" s="0" t="s">
        <v>912</v>
      </c>
      <c r="D12" s="0"/>
      <c r="E12" s="0"/>
      <c r="F12" s="0"/>
      <c r="G12" s="0"/>
      <c r="H12" s="0"/>
      <c r="I12" s="0"/>
      <c r="J12" s="0"/>
      <c r="K12" s="10" t="s">
        <f>=XIRR(K2:K11,J2:J11)</f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45639</v>
      </c>
      <c r="W12" s="6" t="n">
        <v>563.79</v>
      </c>
      <c r="X12" s="0" t="s">
        <v>912</v>
      </c>
      <c r="Y12" s="11" t="n">
        <v>45506</v>
      </c>
      <c r="Z12" s="6" t="n">
        <v>380.24</v>
      </c>
      <c r="AA12" s="0" t="s">
        <v>912</v>
      </c>
      <c r="AB12" s="0"/>
      <c r="AC12" s="0"/>
      <c r="AD12" s="0"/>
      <c r="AE12" s="0"/>
      <c r="AF12" s="0"/>
      <c r="AG12" s="0"/>
      <c r="AH12" s="11" t="n">
        <v>46078</v>
      </c>
      <c r="AI12" s="8" t="s">
        <f>=-Портфель!J13</f>
      </c>
      <c r="AJ12" s="0" t="s">
        <v>913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8" t="s">
        <f>=-SUM(AU2:AU10)</f>
      </c>
      <c r="AV12" s="0" t="s">
        <v>914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8" t="s">
        <f>=-SUM(BJ2:BJ10)</f>
      </c>
      <c r="BK12" s="0" t="s">
        <v>914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45147</v>
      </c>
      <c r="BY12" s="6" t="s">
        <f>=1381.18</f>
      </c>
      <c r="BZ12" s="0" t="s">
        <v>912</v>
      </c>
      <c r="CA12" s="11" t="n">
        <v>45506</v>
      </c>
      <c r="CB12" s="6" t="s">
        <f>=1079.95</f>
      </c>
      <c r="CC12" s="0" t="s">
        <v>912</v>
      </c>
      <c r="CD12" s="11" t="n">
        <v>45714</v>
      </c>
      <c r="CE12" s="6" t="s">
        <f>=720.16</f>
      </c>
      <c r="CF12" s="0" t="s">
        <v>912</v>
      </c>
      <c r="CG12" s="11" t="n">
        <v>45240</v>
      </c>
      <c r="CH12" s="6" t="s">
        <f>=711.84</f>
      </c>
      <c r="CI12" s="0" t="s">
        <v>912</v>
      </c>
      <c r="CJ12" s="11" t="n">
        <v>45924</v>
      </c>
      <c r="CK12" s="6" t="s">
        <f>=-538.56</f>
      </c>
      <c r="CL12" s="0" t="s">
        <v>829</v>
      </c>
      <c r="CM12" s="11" t="n">
        <v>45869</v>
      </c>
      <c r="CN12" s="6" t="s">
        <f>=921.13</f>
      </c>
      <c r="CO12" s="0" t="s">
        <v>912</v>
      </c>
      <c r="CP12" s="11" t="n">
        <v>45371</v>
      </c>
      <c r="CQ12" s="6" t="s">
        <f>=-235.36</f>
      </c>
      <c r="CR12" s="0" t="s">
        <v>518</v>
      </c>
      <c r="CS12" s="11" t="n">
        <v>45351</v>
      </c>
      <c r="CT12" s="6" t="s">
        <f>=730.51</f>
      </c>
      <c r="CU12" s="0" t="s">
        <v>912</v>
      </c>
      <c r="CV12" s="11" t="n">
        <v>45566</v>
      </c>
      <c r="CW12" s="6" t="s">
        <f>=1101.95</f>
      </c>
      <c r="CX12" s="0" t="s">
        <v>912</v>
      </c>
      <c r="CY12" s="11" t="n">
        <v>45303</v>
      </c>
      <c r="CZ12" s="6" t="s">
        <f>=1428.38</f>
      </c>
      <c r="DA12" s="0" t="s">
        <v>912</v>
      </c>
      <c r="DB12" s="11" t="n">
        <v>45876</v>
      </c>
      <c r="DC12" s="6" t="s">
        <f>=931.51</f>
      </c>
      <c r="DD12" s="0" t="s">
        <v>912</v>
      </c>
      <c r="DE12" s="11" t="n">
        <v>45702</v>
      </c>
      <c r="DF12" s="6" t="s">
        <f>=778.45</f>
      </c>
      <c r="DG12" s="0" t="s">
        <v>912</v>
      </c>
      <c r="DH12" s="11" t="n">
        <v>45931</v>
      </c>
      <c r="DI12" s="6" t="s">
        <f>=929.07</f>
      </c>
      <c r="DJ12" s="0" t="s">
        <v>912</v>
      </c>
      <c r="DK12" s="11" t="n">
        <v>45566</v>
      </c>
      <c r="DL12" s="6" t="s">
        <f>=716.79</f>
      </c>
      <c r="DM12" s="0" t="s">
        <v>912</v>
      </c>
      <c r="DN12" s="11" t="n">
        <v>45567</v>
      </c>
      <c r="DO12" s="6" t="s">
        <f>=-230.34</f>
      </c>
      <c r="DP12" s="0" t="s">
        <v>619</v>
      </c>
      <c r="DQ12" s="11" t="n">
        <v>45876</v>
      </c>
      <c r="DR12" s="6" t="s">
        <f>=931.97</f>
      </c>
      <c r="DS12" s="0" t="s">
        <v>912</v>
      </c>
      <c r="DT12" s="11" t="n">
        <v>45702</v>
      </c>
      <c r="DU12" s="6" t="s">
        <f>=767.24</f>
      </c>
      <c r="DV12" s="0" t="s">
        <v>912</v>
      </c>
      <c r="DW12" s="11" t="n">
        <v>45387</v>
      </c>
      <c r="DX12" s="6" t="s">
        <f>=707.93</f>
      </c>
      <c r="DY12" s="0" t="s">
        <v>912</v>
      </c>
      <c r="DZ12" s="11" t="n">
        <v>46078</v>
      </c>
      <c r="EA12" s="8" t="s">
        <f>=-Портфель!J46</f>
      </c>
      <c r="EB12" s="0" t="s">
        <v>913</v>
      </c>
      <c r="EC12" s="11" t="n">
        <v>45938</v>
      </c>
      <c r="ED12" s="6" t="s">
        <f>=-550.25</f>
      </c>
      <c r="EE12" s="0" t="s">
        <v>838</v>
      </c>
      <c r="EF12" s="0"/>
      <c r="EG12" s="0"/>
      <c r="EH12" s="0"/>
      <c r="EI12" s="0"/>
      <c r="EJ12" s="0"/>
      <c r="EK12" s="0"/>
      <c r="EL12" s="0"/>
      <c r="EM12" s="8" t="s">
        <f>=-SUM(EM2:EM10)</f>
      </c>
      <c r="EN12" s="0" t="s">
        <v>914</v>
      </c>
      <c r="EO12" s="11" t="n">
        <v>46078</v>
      </c>
      <c r="EP12" s="8" t="s">
        <f>=-Портфель!J51</f>
      </c>
      <c r="EQ12" s="0" t="s">
        <v>913</v>
      </c>
      <c r="ER12" s="11" t="n">
        <v>46078</v>
      </c>
      <c r="ES12" s="8" t="s">
        <f>=-Портфель!J52</f>
      </c>
      <c r="ET12" s="0" t="s">
        <v>913</v>
      </c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10" t="s">
        <f>=XIRR(FH2:FH11,FG2:FG11)</f>
      </c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10" t="s">
        <f>=XIRR(GF2:GF11,GE2:GE11)</f>
      </c>
      <c r="GG12" s="0"/>
      <c r="GH12" s="11" t="n">
        <v>45437</v>
      </c>
      <c r="GI12" s="6" t="s">
        <f>=-29.14</f>
      </c>
      <c r="GJ12" s="0" t="s">
        <v>550</v>
      </c>
      <c r="GK12" s="11" t="n">
        <v>45742</v>
      </c>
      <c r="GL12" s="6" t="s">
        <f>=-36.32</f>
      </c>
      <c r="GM12" s="0" t="s">
        <v>669</v>
      </c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11" t="n">
        <v>46078</v>
      </c>
      <c r="HJ12" s="8" t="s">
        <f>=-Портфель!J75</f>
      </c>
      <c r="HK12" s="0" t="s">
        <v>913</v>
      </c>
      <c r="HL12" s="0"/>
      <c r="HM12" s="0"/>
      <c r="HN12" s="0"/>
      <c r="HO12" s="0"/>
      <c r="HP12" s="10" t="s">
        <f>=XIRR(HP2:HP11,HO2:HO11)</f>
      </c>
      <c r="HQ12" s="0"/>
      <c r="HR12" s="11" t="n">
        <v>46055</v>
      </c>
      <c r="HS12" s="6" t="s">
        <f>=-19.11</f>
      </c>
      <c r="HT12" s="0" t="s">
        <v>743</v>
      </c>
      <c r="HU12" s="0"/>
      <c r="HV12" s="0"/>
      <c r="HW12" s="0"/>
      <c r="HX12" s="0"/>
      <c r="HY12" s="0"/>
      <c r="HZ12" s="0"/>
      <c r="IA12" s="0"/>
      <c r="IB12" s="0"/>
      <c r="IC12" s="0"/>
      <c r="ID12" s="11" t="n">
        <v>46069</v>
      </c>
      <c r="IE12" s="6" t="s">
        <f>=-20.96</f>
      </c>
      <c r="IF12" s="0" t="s">
        <v>757</v>
      </c>
      <c r="IG12" s="0"/>
      <c r="IH12" s="0"/>
      <c r="II12" s="0"/>
      <c r="IJ12" s="11" t="n">
        <v>46076</v>
      </c>
      <c r="IK12" s="6" t="s">
        <f>=-19.48</f>
      </c>
      <c r="IL12" s="0" t="s">
        <v>763</v>
      </c>
      <c r="IM12" s="0"/>
      <c r="IN12" s="0"/>
      <c r="IO12" s="0"/>
      <c r="IP12" s="11" t="n">
        <v>46032</v>
      </c>
      <c r="IQ12" s="6" t="s">
        <f>=-14.96</f>
      </c>
      <c r="IR12" s="0" t="s">
        <v>881</v>
      </c>
      <c r="IS12" s="11" t="n">
        <v>45716</v>
      </c>
      <c r="IT12" s="6" t="s">
        <f>=-24.81</f>
      </c>
      <c r="IU12" s="0" t="s">
        <v>379</v>
      </c>
      <c r="IV12" s="0"/>
      <c r="IW12" s="0"/>
      <c r="IX12" s="0"/>
      <c r="IY12" s="0"/>
      <c r="IZ12" s="0"/>
      <c r="JA12" s="0"/>
      <c r="JB12" s="0"/>
      <c r="JC12" s="0"/>
      <c r="JD12" s="0"/>
      <c r="JE12" s="11" t="n">
        <v>46043</v>
      </c>
      <c r="JF12" s="6" t="s">
        <f>=-44.13</f>
      </c>
      <c r="JG12" s="0" t="s">
        <v>885</v>
      </c>
      <c r="JH12" s="0"/>
      <c r="JI12" s="0"/>
      <c r="JJ12" s="0"/>
      <c r="JK12" s="11" t="n">
        <v>45651</v>
      </c>
      <c r="JL12" s="6" t="s">
        <f>=-18.06</f>
      </c>
      <c r="JM12" s="0" t="s">
        <v>668</v>
      </c>
      <c r="JN12" s="0"/>
      <c r="JO12" s="0"/>
      <c r="JP12" s="0"/>
      <c r="JQ12" s="0"/>
      <c r="JR12" s="0"/>
      <c r="JS12" s="0"/>
      <c r="JT12" s="0"/>
      <c r="JU12" s="0"/>
      <c r="JV12" s="0"/>
      <c r="JW12" s="11" t="n">
        <v>45776</v>
      </c>
      <c r="JX12" s="6" t="s">
        <f>=-28.22</f>
      </c>
      <c r="JY12" s="0" t="s">
        <v>387</v>
      </c>
      <c r="JZ12" s="11" t="n">
        <v>46050</v>
      </c>
      <c r="KA12" s="6" t="s">
        <f>=-40.15</f>
      </c>
      <c r="KB12" s="0" t="s">
        <v>887</v>
      </c>
      <c r="KC12" s="0"/>
      <c r="KD12" s="10" t="s">
        <f>=XIRR(KD2:KD11,KC2:KC11)</f>
      </c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8" t="s">
        <f>=-SUM(KS2:KS10)</f>
      </c>
      <c r="KT12" s="0" t="s">
        <v>914</v>
      </c>
      <c r="KU12" s="0"/>
      <c r="KV12" s="0"/>
      <c r="KW12" s="0"/>
      <c r="KX12" s="11" t="n">
        <v>46041</v>
      </c>
      <c r="KY12" s="6" t="s">
        <f>=-14.86</f>
      </c>
      <c r="KZ12" s="0" t="s">
        <v>883</v>
      </c>
      <c r="LA12" s="0"/>
      <c r="LB12" s="0"/>
      <c r="LC12" s="0"/>
      <c r="LD12" s="11" t="n">
        <v>45830</v>
      </c>
      <c r="LE12" s="6" t="s">
        <f>=-11.18</f>
      </c>
      <c r="LF12" s="0" t="s">
        <v>613</v>
      </c>
      <c r="LG12" s="0"/>
      <c r="LH12" s="0"/>
      <c r="LI12" s="0"/>
      <c r="LJ12" s="11" t="n">
        <v>45721</v>
      </c>
      <c r="LK12" s="6" t="s">
        <f>=-19.87</f>
      </c>
      <c r="LL12" s="0" t="s">
        <v>381</v>
      </c>
      <c r="LM12" s="11" t="n">
        <v>45708</v>
      </c>
      <c r="LN12" s="6" t="s">
        <f>=-8.66</f>
      </c>
      <c r="LO12" s="0" t="s">
        <v>549</v>
      </c>
      <c r="LP12" s="11" t="n">
        <v>45860</v>
      </c>
      <c r="LQ12" s="6" t="s">
        <f>=-22.97</f>
      </c>
      <c r="LR12" s="0" t="s">
        <v>806</v>
      </c>
    </row>
    <row collapsed="false" customFormat="false" customHeight="false" hidden="false" ht="12.1" outlineLevel="0" r="13">
      <c r="A13" s="11" t="n">
        <v>45324</v>
      </c>
      <c r="B13" s="6" t="n">
        <v>2773.8</v>
      </c>
      <c r="C13" s="0" t="s">
        <v>912</v>
      </c>
      <c r="D13" s="0"/>
      <c r="E13" s="0"/>
      <c r="F13" s="0"/>
      <c r="G13" s="0"/>
      <c r="H13" s="0"/>
      <c r="I13" s="0"/>
      <c r="J13" s="0"/>
      <c r="K13" s="8" t="s">
        <f>=-SUM(K2:K11)</f>
      </c>
      <c r="L13" s="0" t="s">
        <v>914</v>
      </c>
      <c r="M13" s="0"/>
      <c r="N13" s="0"/>
      <c r="O13" s="0"/>
      <c r="P13" s="0"/>
      <c r="Q13" s="0"/>
      <c r="R13" s="0"/>
      <c r="S13" s="0"/>
      <c r="T13" s="0"/>
      <c r="U13" s="0"/>
      <c r="V13" s="11" t="n">
        <v>45665</v>
      </c>
      <c r="W13" s="6" t="n">
        <v>-156.51</v>
      </c>
      <c r="X13" s="0" t="s">
        <v>673</v>
      </c>
      <c r="Y13" s="11" t="n">
        <v>45541</v>
      </c>
      <c r="Z13" s="6" t="n">
        <v>363.99</v>
      </c>
      <c r="AA13" s="0" t="s">
        <v>912</v>
      </c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45184</v>
      </c>
      <c r="BY13" s="6" t="s">
        <f>=676.34</f>
      </c>
      <c r="BZ13" s="0" t="s">
        <v>912</v>
      </c>
      <c r="CA13" s="11" t="n">
        <v>45566</v>
      </c>
      <c r="CB13" s="6" t="s">
        <f>=1097.76</f>
      </c>
      <c r="CC13" s="0" t="s">
        <v>912</v>
      </c>
      <c r="CD13" s="11" t="n">
        <v>45776</v>
      </c>
      <c r="CE13" s="6" t="s">
        <f>=732.56</f>
      </c>
      <c r="CF13" s="0" t="s">
        <v>912</v>
      </c>
      <c r="CG13" s="11" t="n">
        <v>45266</v>
      </c>
      <c r="CH13" s="6" t="s">
        <f>=-389.4</f>
      </c>
      <c r="CI13" s="0" t="s">
        <v>483</v>
      </c>
      <c r="CJ13" s="11" t="n">
        <v>45931</v>
      </c>
      <c r="CK13" s="6" t="s">
        <f>=872.7</f>
      </c>
      <c r="CL13" s="0" t="s">
        <v>912</v>
      </c>
      <c r="CM13" s="11" t="n">
        <v>45869</v>
      </c>
      <c r="CN13" s="6" t="s">
        <f>=921.13</f>
      </c>
      <c r="CO13" s="0" t="s">
        <v>912</v>
      </c>
      <c r="CP13" s="11" t="n">
        <v>45387</v>
      </c>
      <c r="CQ13" s="6" t="s">
        <f>=687.54</f>
      </c>
      <c r="CR13" s="0" t="s">
        <v>912</v>
      </c>
      <c r="CS13" s="11" t="n">
        <v>45351</v>
      </c>
      <c r="CT13" s="6" t="s">
        <f>=730.47</f>
      </c>
      <c r="CU13" s="0" t="s">
        <v>912</v>
      </c>
      <c r="CV13" s="11" t="n">
        <v>45609</v>
      </c>
      <c r="CW13" s="6" t="s">
        <f>=-594.79</f>
      </c>
      <c r="CX13" s="0" t="s">
        <v>640</v>
      </c>
      <c r="CY13" s="11" t="n">
        <v>45336</v>
      </c>
      <c r="CZ13" s="6" t="s">
        <f>=-418.8</f>
      </c>
      <c r="DA13" s="0" t="s">
        <v>508</v>
      </c>
      <c r="DB13" s="11" t="n">
        <v>45901</v>
      </c>
      <c r="DC13" s="6" t="s">
        <f>=945.91</f>
      </c>
      <c r="DD13" s="0" t="s">
        <v>912</v>
      </c>
      <c r="DE13" s="11" t="n">
        <v>45805</v>
      </c>
      <c r="DF13" s="6" t="s">
        <f>=-473.7</f>
      </c>
      <c r="DG13" s="0" t="s">
        <v>760</v>
      </c>
      <c r="DH13" s="11" t="n">
        <v>45938</v>
      </c>
      <c r="DI13" s="6" t="s">
        <f>=-598.4</f>
      </c>
      <c r="DJ13" s="0" t="s">
        <v>839</v>
      </c>
      <c r="DK13" s="11" t="n">
        <v>45566</v>
      </c>
      <c r="DL13" s="6" t="s">
        <f>=717.66</f>
      </c>
      <c r="DM13" s="0" t="s">
        <v>912</v>
      </c>
      <c r="DN13" s="11" t="n">
        <v>45702</v>
      </c>
      <c r="DO13" s="6" t="s">
        <f>=693.52</f>
      </c>
      <c r="DP13" s="0" t="s">
        <v>912</v>
      </c>
      <c r="DQ13" s="11" t="n">
        <v>45924</v>
      </c>
      <c r="DR13" s="6" t="s">
        <f>=-504.9</f>
      </c>
      <c r="DS13" s="0" t="s">
        <v>828</v>
      </c>
      <c r="DT13" s="11" t="n">
        <v>45714</v>
      </c>
      <c r="DU13" s="6" t="s">
        <f>=760.91</f>
      </c>
      <c r="DV13" s="0" t="s">
        <v>912</v>
      </c>
      <c r="DW13" s="11" t="n">
        <v>45387</v>
      </c>
      <c r="DX13" s="6" t="s">
        <f>=707.93</f>
      </c>
      <c r="DY13" s="0" t="s">
        <v>912</v>
      </c>
      <c r="DZ13" s="0"/>
      <c r="EA13" s="10" t="s">
        <f>=XIRR(EA2:EA12,DZ2:DZ12)</f>
      </c>
      <c r="EB13" s="0"/>
      <c r="EC13" s="11" t="n">
        <v>46078</v>
      </c>
      <c r="ED13" s="8" t="s">
        <f>=-Портфель!J47</f>
      </c>
      <c r="EE13" s="0" t="s">
        <v>913</v>
      </c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10" t="s">
        <f>=XIRR(EP2:EP12,EO2:EO12)</f>
      </c>
      <c r="EQ13" s="0"/>
      <c r="ER13" s="0"/>
      <c r="ES13" s="10" t="s">
        <f>=XIRR(ES2:ES12,ER2:ER12)</f>
      </c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8" t="s">
        <f>=-SUM(FH2:FH11)</f>
      </c>
      <c r="FI13" s="0" t="s">
        <v>914</v>
      </c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8" t="s">
        <f>=-SUM(GF2:GF11)</f>
      </c>
      <c r="GG13" s="0" t="s">
        <v>914</v>
      </c>
      <c r="GH13" s="11" t="n">
        <v>45468</v>
      </c>
      <c r="GI13" s="6" t="s">
        <f>=-29.52</f>
      </c>
      <c r="GJ13" s="0" t="s">
        <v>567</v>
      </c>
      <c r="GK13" s="11" t="n">
        <v>45772</v>
      </c>
      <c r="GL13" s="6" t="s">
        <f>=-36.32</f>
      </c>
      <c r="GM13" s="0" t="s">
        <v>669</v>
      </c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10" t="s">
        <f>=XIRR(HJ2:HJ12,HI2:HI12)</f>
      </c>
      <c r="HK13" s="0"/>
      <c r="HL13" s="0"/>
      <c r="HM13" s="0"/>
      <c r="HN13" s="0"/>
      <c r="HO13" s="0"/>
      <c r="HP13" s="8" t="s">
        <f>=-SUM(HP2:HP11)</f>
      </c>
      <c r="HQ13" s="0" t="s">
        <v>914</v>
      </c>
      <c r="HR13" s="11" t="n">
        <v>46141</v>
      </c>
      <c r="HS13" s="8" t="s">
        <f>=-Портфель!J78</f>
      </c>
      <c r="HT13" s="0" t="s">
        <v>913</v>
      </c>
      <c r="HU13" s="0"/>
      <c r="HV13" s="0"/>
      <c r="HW13" s="0"/>
      <c r="HX13" s="0"/>
      <c r="HY13" s="0"/>
      <c r="HZ13" s="0"/>
      <c r="IA13" s="0"/>
      <c r="IB13" s="0"/>
      <c r="IC13" s="0"/>
      <c r="ID13" s="11" t="n">
        <v>46141</v>
      </c>
      <c r="IE13" s="8" t="s">
        <f>=-Портфель!J82</f>
      </c>
      <c r="IF13" s="0" t="s">
        <v>913</v>
      </c>
      <c r="IG13" s="0"/>
      <c r="IH13" s="0"/>
      <c r="II13" s="0"/>
      <c r="IJ13" s="11" t="n">
        <v>46141</v>
      </c>
      <c r="IK13" s="8" t="s">
        <f>=-Портфель!J84</f>
      </c>
      <c r="IL13" s="0" t="s">
        <v>913</v>
      </c>
      <c r="IM13" s="0"/>
      <c r="IN13" s="0"/>
      <c r="IO13" s="0"/>
      <c r="IP13" s="11" t="n">
        <v>46063</v>
      </c>
      <c r="IQ13" s="6" t="s">
        <f>=-14.68</f>
      </c>
      <c r="IR13" s="0" t="s">
        <v>895</v>
      </c>
      <c r="IS13" s="11" t="n">
        <v>45807</v>
      </c>
      <c r="IT13" s="6" t="s">
        <f>=-24.81</f>
      </c>
      <c r="IU13" s="0" t="s">
        <v>379</v>
      </c>
      <c r="IV13" s="0"/>
      <c r="IW13" s="0"/>
      <c r="IX13" s="0"/>
      <c r="IY13" s="0"/>
      <c r="IZ13" s="0"/>
      <c r="JA13" s="0"/>
      <c r="JB13" s="0"/>
      <c r="JC13" s="0"/>
      <c r="JD13" s="0"/>
      <c r="JE13" s="11" t="n">
        <v>46078</v>
      </c>
      <c r="JF13" s="8" t="s">
        <f>=-Портфель!J91</f>
      </c>
      <c r="JG13" s="0" t="s">
        <v>913</v>
      </c>
      <c r="JH13" s="0"/>
      <c r="JI13" s="0"/>
      <c r="JJ13" s="0"/>
      <c r="JK13" s="11" t="n">
        <v>45682</v>
      </c>
      <c r="JL13" s="6" t="s">
        <f>=-18.98</f>
      </c>
      <c r="JM13" s="0" t="s">
        <v>680</v>
      </c>
      <c r="JN13" s="0"/>
      <c r="JO13" s="0"/>
      <c r="JP13" s="0"/>
      <c r="JQ13" s="0"/>
      <c r="JR13" s="0"/>
      <c r="JS13" s="0"/>
      <c r="JT13" s="0"/>
      <c r="JU13" s="0"/>
      <c r="JV13" s="0"/>
      <c r="JW13" s="11" t="n">
        <v>45867</v>
      </c>
      <c r="JX13" s="6" t="s">
        <f>=-28.22</f>
      </c>
      <c r="JY13" s="0" t="s">
        <v>387</v>
      </c>
      <c r="JZ13" s="11" t="n">
        <v>46078</v>
      </c>
      <c r="KA13" s="8" t="s">
        <f>=-Портфель!J98</f>
      </c>
      <c r="KB13" s="0" t="s">
        <v>913</v>
      </c>
      <c r="KC13" s="0"/>
      <c r="KD13" s="8" t="s">
        <f>=-SUM(KD2:KD11)</f>
      </c>
      <c r="KE13" s="0" t="s">
        <v>914</v>
      </c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11" t="n">
        <v>46072</v>
      </c>
      <c r="KY13" s="6" t="s">
        <f>=-14.48</f>
      </c>
      <c r="KZ13" s="0" t="s">
        <v>900</v>
      </c>
      <c r="LA13" s="0"/>
      <c r="LB13" s="0"/>
      <c r="LC13" s="0"/>
      <c r="LD13" s="11" t="n">
        <v>45860</v>
      </c>
      <c r="LE13" s="6" t="s">
        <f>=-11.18</f>
      </c>
      <c r="LF13" s="0" t="s">
        <v>613</v>
      </c>
      <c r="LG13" s="0"/>
      <c r="LH13" s="0"/>
      <c r="LI13" s="0"/>
      <c r="LJ13" s="11" t="n">
        <v>45812</v>
      </c>
      <c r="LK13" s="6" t="s">
        <f>=-19.87</f>
      </c>
      <c r="LL13" s="0" t="s">
        <v>381</v>
      </c>
      <c r="LM13" s="11" t="n">
        <v>45799</v>
      </c>
      <c r="LN13" s="6" t="s">
        <f>=-6.5</f>
      </c>
      <c r="LO13" s="0" t="s">
        <v>756</v>
      </c>
      <c r="LP13" s="11" t="n">
        <v>45950</v>
      </c>
      <c r="LQ13" s="6" t="s">
        <f>=-165</f>
      </c>
      <c r="LR13" s="0" t="s">
        <v>675</v>
      </c>
    </row>
    <row collapsed="false" customFormat="false" customHeight="false" hidden="false" ht="12.1" outlineLevel="0" r="14">
      <c r="A14" s="11" t="n">
        <v>45324</v>
      </c>
      <c r="B14" s="6" t="n">
        <v>2775</v>
      </c>
      <c r="C14" s="0" t="s">
        <v>912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45729</v>
      </c>
      <c r="W14" s="6" t="n">
        <v>697.19</v>
      </c>
      <c r="X14" s="0" t="s">
        <v>912</v>
      </c>
      <c r="Y14" s="11" t="n">
        <v>45597</v>
      </c>
      <c r="Z14" s="6" t="n">
        <v>380.94</v>
      </c>
      <c r="AA14" s="0" t="s">
        <v>912</v>
      </c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914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11" t="n">
        <v>45184</v>
      </c>
      <c r="BY14" s="6" t="s">
        <f>=676.34</f>
      </c>
      <c r="BZ14" s="0" t="s">
        <v>912</v>
      </c>
      <c r="CA14" s="11" t="n">
        <v>45566</v>
      </c>
      <c r="CB14" s="6" t="s">
        <f>=1100.37</f>
      </c>
      <c r="CC14" s="0" t="s">
        <v>912</v>
      </c>
      <c r="CD14" s="11" t="n">
        <v>45812</v>
      </c>
      <c r="CE14" s="6" t="s">
        <f>=-586.44</f>
      </c>
      <c r="CF14" s="0" t="s">
        <v>770</v>
      </c>
      <c r="CG14" s="11" t="n">
        <v>45267</v>
      </c>
      <c r="CH14" s="6" t="s">
        <f>=1318.1</f>
      </c>
      <c r="CI14" s="0" t="s">
        <v>912</v>
      </c>
      <c r="CJ14" s="11" t="n">
        <v>45959</v>
      </c>
      <c r="CK14" s="6" t="s">
        <f>=876.81</f>
      </c>
      <c r="CL14" s="0" t="s">
        <v>912</v>
      </c>
      <c r="CM14" s="11" t="n">
        <v>45876</v>
      </c>
      <c r="CN14" s="6" t="s">
        <f>=927.41</f>
      </c>
      <c r="CO14" s="0" t="s">
        <v>912</v>
      </c>
      <c r="CP14" s="11" t="n">
        <v>45387</v>
      </c>
      <c r="CQ14" s="6" t="s">
        <f>=687.55</f>
      </c>
      <c r="CR14" s="0" t="s">
        <v>912</v>
      </c>
      <c r="CS14" s="11" t="n">
        <v>45356</v>
      </c>
      <c r="CT14" s="6" t="s">
        <f>=725.98</f>
      </c>
      <c r="CU14" s="0" t="s">
        <v>912</v>
      </c>
      <c r="CV14" s="11" t="n">
        <v>45702</v>
      </c>
      <c r="CW14" s="6" t="s">
        <f>=1090.65</f>
      </c>
      <c r="CX14" s="0" t="s">
        <v>912</v>
      </c>
      <c r="CY14" s="11" t="n">
        <v>45351</v>
      </c>
      <c r="CZ14" s="6" t="s">
        <f>=680.1</f>
      </c>
      <c r="DA14" s="0" t="s">
        <v>912</v>
      </c>
      <c r="DB14" s="11" t="n">
        <v>45931</v>
      </c>
      <c r="DC14" s="6" t="s">
        <f>=912.72</f>
      </c>
      <c r="DD14" s="0" t="s">
        <v>912</v>
      </c>
      <c r="DE14" s="11" t="n">
        <v>45959</v>
      </c>
      <c r="DF14" s="6" t="s">
        <f>=820.59</f>
      </c>
      <c r="DG14" s="0" t="s">
        <v>912</v>
      </c>
      <c r="DH14" s="11" t="n">
        <v>46027</v>
      </c>
      <c r="DI14" s="6" t="s">
        <f>=914.74</f>
      </c>
      <c r="DJ14" s="0" t="s">
        <v>912</v>
      </c>
      <c r="DK14" s="11" t="n">
        <v>45581</v>
      </c>
      <c r="DL14" s="6" t="s">
        <f>=-381.5</f>
      </c>
      <c r="DM14" s="0" t="s">
        <v>627</v>
      </c>
      <c r="DN14" s="11" t="n">
        <v>45702</v>
      </c>
      <c r="DO14" s="6" t="s">
        <f>=695.04</f>
      </c>
      <c r="DP14" s="0" t="s">
        <v>912</v>
      </c>
      <c r="DQ14" s="11" t="n">
        <v>45959</v>
      </c>
      <c r="DR14" s="6" t="s">
        <f>=853.13</f>
      </c>
      <c r="DS14" s="0" t="s">
        <v>912</v>
      </c>
      <c r="DT14" s="11" t="n">
        <v>45742</v>
      </c>
      <c r="DU14" s="6" t="s">
        <f>=-423.8</f>
      </c>
      <c r="DV14" s="0" t="s">
        <v>708</v>
      </c>
      <c r="DW14" s="11" t="n">
        <v>45434</v>
      </c>
      <c r="DX14" s="6" t="s">
        <f>=-325.35</f>
      </c>
      <c r="DY14" s="0" t="s">
        <v>548</v>
      </c>
      <c r="DZ14" s="0"/>
      <c r="EA14" s="8" t="s">
        <f>=-SUM(EA2:EA12)</f>
      </c>
      <c r="EB14" s="0" t="s">
        <v>914</v>
      </c>
      <c r="EC14" s="0"/>
      <c r="ED14" s="10" t="s">
        <f>=XIRR(ED2:ED13,EC2:EC13)</f>
      </c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8" t="s">
        <f>=-SUM(EP2:EP12)</f>
      </c>
      <c r="EQ14" s="0" t="s">
        <v>914</v>
      </c>
      <c r="ER14" s="0"/>
      <c r="ES14" s="8" t="s">
        <f>=-SUM(ES2:ES12)</f>
      </c>
      <c r="ET14" s="0" t="s">
        <v>914</v>
      </c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11" t="n">
        <v>45499</v>
      </c>
      <c r="GI14" s="6" t="s">
        <f>=-29.48</f>
      </c>
      <c r="GJ14" s="0" t="s">
        <v>585</v>
      </c>
      <c r="GK14" s="11" t="n">
        <v>45802</v>
      </c>
      <c r="GL14" s="6" t="s">
        <f>=-36.32</f>
      </c>
      <c r="GM14" s="0" t="s">
        <v>669</v>
      </c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8" t="s">
        <f>=-SUM(HJ2:HJ12)</f>
      </c>
      <c r="HK14" s="0" t="s">
        <v>914</v>
      </c>
      <c r="HL14" s="0"/>
      <c r="HM14" s="0"/>
      <c r="HN14" s="0"/>
      <c r="HO14" s="0"/>
      <c r="HP14" s="0"/>
      <c r="HQ14" s="0"/>
      <c r="HR14" s="0"/>
      <c r="HS14" s="10" t="s">
        <f>=XIRR(HS2:HS13,HR2:HR13)</f>
      </c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10" t="s">
        <f>=XIRR(IE2:IE13,ID2:ID13)</f>
      </c>
      <c r="IF14" s="0"/>
      <c r="IG14" s="0"/>
      <c r="IH14" s="0"/>
      <c r="II14" s="0"/>
      <c r="IJ14" s="0"/>
      <c r="IK14" s="10" t="s">
        <f>=XIRR(IK2:IK13,IJ2:IJ13)</f>
      </c>
      <c r="IL14" s="0"/>
      <c r="IM14" s="0"/>
      <c r="IN14" s="0"/>
      <c r="IO14" s="0"/>
      <c r="IP14" s="11" t="n">
        <v>46116</v>
      </c>
      <c r="IQ14" s="8" t="s">
        <f>=-Портфель!J86</f>
      </c>
      <c r="IR14" s="0" t="s">
        <v>913</v>
      </c>
      <c r="IS14" s="11" t="n">
        <v>45898</v>
      </c>
      <c r="IT14" s="6" t="s">
        <f>=-24.81</f>
      </c>
      <c r="IU14" s="0" t="s">
        <v>379</v>
      </c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10" t="s">
        <f>=XIRR(JF2:JF13,JE2:JE13)</f>
      </c>
      <c r="JG14" s="0"/>
      <c r="JH14" s="0"/>
      <c r="JI14" s="0"/>
      <c r="JJ14" s="0"/>
      <c r="JK14" s="11" t="n">
        <v>45713</v>
      </c>
      <c r="JL14" s="6" t="s">
        <f>=-18.67</f>
      </c>
      <c r="JM14" s="0" t="s">
        <v>695</v>
      </c>
      <c r="JN14" s="0"/>
      <c r="JO14" s="0"/>
      <c r="JP14" s="0"/>
      <c r="JQ14" s="0"/>
      <c r="JR14" s="0"/>
      <c r="JS14" s="0"/>
      <c r="JT14" s="0"/>
      <c r="JU14" s="0"/>
      <c r="JV14" s="0"/>
      <c r="JW14" s="11" t="n">
        <v>45958</v>
      </c>
      <c r="JX14" s="6" t="s">
        <f>=-28.22</f>
      </c>
      <c r="JY14" s="0" t="s">
        <v>387</v>
      </c>
      <c r="JZ14" s="0"/>
      <c r="KA14" s="10" t="s">
        <f>=XIRR(KA2:KA13,JZ2:JZ13)</f>
      </c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11" t="n">
        <v>46116</v>
      </c>
      <c r="KY14" s="8" t="s">
        <f>=-Портфель!J106</f>
      </c>
      <c r="KZ14" s="0" t="s">
        <v>913</v>
      </c>
      <c r="LA14" s="0"/>
      <c r="LB14" s="0"/>
      <c r="LC14" s="0"/>
      <c r="LD14" s="11" t="n">
        <v>45890</v>
      </c>
      <c r="LE14" s="6" t="s">
        <f>=-11.18</f>
      </c>
      <c r="LF14" s="0" t="s">
        <v>613</v>
      </c>
      <c r="LG14" s="0"/>
      <c r="LH14" s="0"/>
      <c r="LI14" s="0"/>
      <c r="LJ14" s="11" t="n">
        <v>45903</v>
      </c>
      <c r="LK14" s="6" t="s">
        <f>=-19.87</f>
      </c>
      <c r="LL14" s="0" t="s">
        <v>381</v>
      </c>
      <c r="LM14" s="11" t="n">
        <v>45890</v>
      </c>
      <c r="LN14" s="6" t="s">
        <f>=-6.5</f>
      </c>
      <c r="LO14" s="0" t="s">
        <v>756</v>
      </c>
      <c r="LP14" s="11" t="n">
        <v>45951</v>
      </c>
      <c r="LQ14" s="6" t="s">
        <f>=-17.31</f>
      </c>
      <c r="LR14" s="0" t="s">
        <v>844</v>
      </c>
    </row>
    <row collapsed="false" customFormat="false" customHeight="false" hidden="false" ht="12.1" outlineLevel="0" r="15">
      <c r="A15" s="11" t="n">
        <v>45418</v>
      </c>
      <c r="B15" s="6" t="n">
        <v>3082.42</v>
      </c>
      <c r="C15" s="0" t="s">
        <v>912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45810</v>
      </c>
      <c r="W15" s="6" t="n">
        <v>-431.1</v>
      </c>
      <c r="X15" s="0" t="s">
        <v>767</v>
      </c>
      <c r="Y15" s="11" t="n">
        <v>45639</v>
      </c>
      <c r="Z15" s="6" t="n">
        <v>359.48</v>
      </c>
      <c r="AA15" s="0" t="s">
        <v>912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11" t="n">
        <v>45184</v>
      </c>
      <c r="BY15" s="6" t="s">
        <f>=676.34</f>
      </c>
      <c r="BZ15" s="0" t="s">
        <v>912</v>
      </c>
      <c r="CA15" s="11" t="n">
        <v>45644</v>
      </c>
      <c r="CB15" s="6" t="s">
        <f>=-863.1</f>
      </c>
      <c r="CC15" s="0" t="s">
        <v>666</v>
      </c>
      <c r="CD15" s="11" t="n">
        <v>45869</v>
      </c>
      <c r="CE15" s="6" t="s">
        <f>=776.83</f>
      </c>
      <c r="CF15" s="0" t="s">
        <v>912</v>
      </c>
      <c r="CG15" s="11" t="n">
        <v>45303</v>
      </c>
      <c r="CH15" s="6" t="s">
        <f>=1319.46</f>
      </c>
      <c r="CI15" s="0" t="s">
        <v>912</v>
      </c>
      <c r="CJ15" s="11" t="n">
        <v>45959</v>
      </c>
      <c r="CK15" s="6" t="s">
        <f>=876.77</f>
      </c>
      <c r="CL15" s="0" t="s">
        <v>912</v>
      </c>
      <c r="CM15" s="11" t="n">
        <v>45876</v>
      </c>
      <c r="CN15" s="6" t="s">
        <f>=927.06</f>
      </c>
      <c r="CO15" s="0" t="s">
        <v>912</v>
      </c>
      <c r="CP15" s="11" t="n">
        <v>45506</v>
      </c>
      <c r="CQ15" s="6" t="s">
        <f>=646.67</f>
      </c>
      <c r="CR15" s="0" t="s">
        <v>912</v>
      </c>
      <c r="CS15" s="11" t="n">
        <v>45385</v>
      </c>
      <c r="CT15" s="6" t="s">
        <f>=-499.07</f>
      </c>
      <c r="CU15" s="0" t="s">
        <v>530</v>
      </c>
      <c r="CV15" s="11" t="n">
        <v>45702</v>
      </c>
      <c r="CW15" s="6" t="s">
        <f>=1090.61</f>
      </c>
      <c r="CX15" s="0" t="s">
        <v>912</v>
      </c>
      <c r="CY15" s="11" t="n">
        <v>45356</v>
      </c>
      <c r="CZ15" s="6" t="s">
        <f>=673.53</f>
      </c>
      <c r="DA15" s="0" t="s">
        <v>912</v>
      </c>
      <c r="DB15" s="11" t="n">
        <v>45987</v>
      </c>
      <c r="DC15" s="6" t="s">
        <f>=-671.88</f>
      </c>
      <c r="DD15" s="0" t="s">
        <v>857</v>
      </c>
      <c r="DE15" s="11" t="n">
        <v>45959</v>
      </c>
      <c r="DF15" s="6" t="s">
        <f>=820.6</f>
      </c>
      <c r="DG15" s="0" t="s">
        <v>912</v>
      </c>
      <c r="DH15" s="11" t="n">
        <v>46027</v>
      </c>
      <c r="DI15" s="6" t="s">
        <f>=914.74</f>
      </c>
      <c r="DJ15" s="0" t="s">
        <v>912</v>
      </c>
      <c r="DK15" s="11" t="n">
        <v>45702</v>
      </c>
      <c r="DL15" s="6" t="s">
        <f>=772.95</f>
      </c>
      <c r="DM15" s="0" t="s">
        <v>912</v>
      </c>
      <c r="DN15" s="11" t="n">
        <v>45749</v>
      </c>
      <c r="DO15" s="6" t="s">
        <f>=-345.51</f>
      </c>
      <c r="DP15" s="0" t="s">
        <v>717</v>
      </c>
      <c r="DQ15" s="11" t="n">
        <v>45959</v>
      </c>
      <c r="DR15" s="6" t="s">
        <f>=853.14</f>
      </c>
      <c r="DS15" s="0" t="s">
        <v>912</v>
      </c>
      <c r="DT15" s="11" t="n">
        <v>45924</v>
      </c>
      <c r="DU15" s="6" t="s">
        <f>=-423.8</f>
      </c>
      <c r="DV15" s="0" t="s">
        <v>708</v>
      </c>
      <c r="DW15" s="11" t="n">
        <v>45616</v>
      </c>
      <c r="DX15" s="6" t="s">
        <f>=-325.35</f>
      </c>
      <c r="DY15" s="0" t="s">
        <v>548</v>
      </c>
      <c r="DZ15" s="0"/>
      <c r="EA15" s="0"/>
      <c r="EB15" s="0"/>
      <c r="EC15" s="0"/>
      <c r="ED15" s="8" t="s">
        <f>=-SUM(ED2:ED13)</f>
      </c>
      <c r="EE15" s="0" t="s">
        <v>914</v>
      </c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11" t="n">
        <v>45530</v>
      </c>
      <c r="GI15" s="6" t="s">
        <f>=-29.5</f>
      </c>
      <c r="GJ15" s="0" t="s">
        <v>521</v>
      </c>
      <c r="GK15" s="11" t="n">
        <v>45832</v>
      </c>
      <c r="GL15" s="6" t="s">
        <f>=-36.32</f>
      </c>
      <c r="GM15" s="0" t="s">
        <v>669</v>
      </c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8" t="s">
        <f>=-SUM(HS2:HS13)</f>
      </c>
      <c r="HT15" s="0" t="s">
        <v>914</v>
      </c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8" t="s">
        <f>=-SUM(IE2:IE13)</f>
      </c>
      <c r="IF15" s="0" t="s">
        <v>914</v>
      </c>
      <c r="IG15" s="0"/>
      <c r="IH15" s="0"/>
      <c r="II15" s="0"/>
      <c r="IJ15" s="0"/>
      <c r="IK15" s="8" t="s">
        <f>=-SUM(IK2:IK13)</f>
      </c>
      <c r="IL15" s="0" t="s">
        <v>914</v>
      </c>
      <c r="IM15" s="0"/>
      <c r="IN15" s="0"/>
      <c r="IO15" s="0"/>
      <c r="IP15" s="0"/>
      <c r="IQ15" s="10" t="s">
        <f>=XIRR(IQ2:IQ14,IP2:IP14)</f>
      </c>
      <c r="IR15" s="0"/>
      <c r="IS15" s="11" t="n">
        <v>45989</v>
      </c>
      <c r="IT15" s="6" t="s">
        <f>=-24.81</f>
      </c>
      <c r="IU15" s="0" t="s">
        <v>379</v>
      </c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8" t="s">
        <f>=-SUM(JF2:JF13)</f>
      </c>
      <c r="JG15" s="0" t="s">
        <v>914</v>
      </c>
      <c r="JH15" s="0"/>
      <c r="JI15" s="0"/>
      <c r="JJ15" s="0"/>
      <c r="JK15" s="11" t="n">
        <v>45744</v>
      </c>
      <c r="JL15" s="6" t="s">
        <f>=-18.7</f>
      </c>
      <c r="JM15" s="0" t="s">
        <v>713</v>
      </c>
      <c r="JN15" s="0"/>
      <c r="JO15" s="0"/>
      <c r="JP15" s="0"/>
      <c r="JQ15" s="0"/>
      <c r="JR15" s="0"/>
      <c r="JS15" s="0"/>
      <c r="JT15" s="0"/>
      <c r="JU15" s="0"/>
      <c r="JV15" s="0"/>
      <c r="JW15" s="11" t="n">
        <v>46049</v>
      </c>
      <c r="JX15" s="6" t="s">
        <f>=-28.22</f>
      </c>
      <c r="JY15" s="0" t="s">
        <v>387</v>
      </c>
      <c r="JZ15" s="0"/>
      <c r="KA15" s="8" t="s">
        <f>=-SUM(KA2:KA13)</f>
      </c>
      <c r="KB15" s="0" t="s">
        <v>914</v>
      </c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10" t="s">
        <f>=XIRR(KY2:KY14,KX2:KX14)</f>
      </c>
      <c r="KZ15" s="0"/>
      <c r="LA15" s="0"/>
      <c r="LB15" s="0"/>
      <c r="LC15" s="0"/>
      <c r="LD15" s="11" t="n">
        <v>45920</v>
      </c>
      <c r="LE15" s="6" t="s">
        <f>=-11.18</f>
      </c>
      <c r="LF15" s="0" t="s">
        <v>613</v>
      </c>
      <c r="LG15" s="0"/>
      <c r="LH15" s="0"/>
      <c r="LI15" s="0"/>
      <c r="LJ15" s="11" t="n">
        <v>45994</v>
      </c>
      <c r="LK15" s="6" t="s">
        <f>=-19.87</f>
      </c>
      <c r="LL15" s="0" t="s">
        <v>381</v>
      </c>
      <c r="LM15" s="11" t="n">
        <v>45981</v>
      </c>
      <c r="LN15" s="6" t="s">
        <f>=-6.5</f>
      </c>
      <c r="LO15" s="0" t="s">
        <v>756</v>
      </c>
      <c r="LP15" s="11" t="n">
        <v>46041</v>
      </c>
      <c r="LQ15" s="6" t="s">
        <f>=-165</f>
      </c>
      <c r="LR15" s="0" t="s">
        <v>675</v>
      </c>
    </row>
    <row collapsed="false" customFormat="false" customHeight="false" hidden="false" ht="12.1" outlineLevel="0" r="16">
      <c r="A16" s="11" t="n">
        <v>45484</v>
      </c>
      <c r="B16" s="6" t="n">
        <v>-4329</v>
      </c>
      <c r="C16" s="0" t="s">
        <v>573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45944</v>
      </c>
      <c r="W16" s="6" t="n">
        <v>-143.5</v>
      </c>
      <c r="X16" s="0" t="s">
        <v>842</v>
      </c>
      <c r="Y16" s="11" t="n">
        <v>45817</v>
      </c>
      <c r="Z16" s="6" t="n">
        <v>-495.2591236446</v>
      </c>
      <c r="AA16" s="0" t="s">
        <v>776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45240</v>
      </c>
      <c r="BY16" s="6" t="s">
        <f>=1371.7</f>
      </c>
      <c r="BZ16" s="0" t="s">
        <v>912</v>
      </c>
      <c r="CA16" s="11" t="n">
        <v>45702</v>
      </c>
      <c r="CB16" s="6" t="s">
        <f>=1076.41</f>
      </c>
      <c r="CC16" s="0" t="s">
        <v>912</v>
      </c>
      <c r="CD16" s="11" t="n">
        <v>45876</v>
      </c>
      <c r="CE16" s="6" t="s">
        <f>=782.23</f>
      </c>
      <c r="CF16" s="0" t="s">
        <v>912</v>
      </c>
      <c r="CG16" s="11" t="n">
        <v>45351</v>
      </c>
      <c r="CH16" s="6" t="s">
        <f>=661.05</f>
      </c>
      <c r="CI16" s="0" t="s">
        <v>912</v>
      </c>
      <c r="CJ16" s="11" t="n">
        <v>46027</v>
      </c>
      <c r="CK16" s="6" t="s">
        <f>=922.87</f>
      </c>
      <c r="CL16" s="0" t="s">
        <v>912</v>
      </c>
      <c r="CM16" s="11" t="n">
        <v>45901</v>
      </c>
      <c r="CN16" s="6" t="s">
        <f>=942.46</f>
      </c>
      <c r="CO16" s="0" t="s">
        <v>912</v>
      </c>
      <c r="CP16" s="11" t="n">
        <v>45553</v>
      </c>
      <c r="CQ16" s="6" t="s">
        <f>=-323.62</f>
      </c>
      <c r="CR16" s="0" t="s">
        <v>608</v>
      </c>
      <c r="CS16" s="11" t="n">
        <v>45387</v>
      </c>
      <c r="CT16" s="6" t="s">
        <f>=649.19</f>
      </c>
      <c r="CU16" s="0" t="s">
        <v>912</v>
      </c>
      <c r="CV16" s="11" t="n">
        <v>45714</v>
      </c>
      <c r="CW16" s="6" t="s">
        <f>=1094.45</f>
      </c>
      <c r="CX16" s="0" t="s">
        <v>912</v>
      </c>
      <c r="CY16" s="11" t="n">
        <v>45387</v>
      </c>
      <c r="CZ16" s="6" t="s">
        <f>=636.15</f>
      </c>
      <c r="DA16" s="0" t="s">
        <v>912</v>
      </c>
      <c r="DB16" s="11" t="n">
        <v>46027</v>
      </c>
      <c r="DC16" s="6" t="s">
        <f>=906.42</f>
      </c>
      <c r="DD16" s="0" t="s">
        <v>912</v>
      </c>
      <c r="DE16" s="11" t="n">
        <v>45987</v>
      </c>
      <c r="DF16" s="6" t="s">
        <f>=-568.44</f>
      </c>
      <c r="DG16" s="0" t="s">
        <v>858</v>
      </c>
      <c r="DH16" s="11" t="n">
        <v>46078</v>
      </c>
      <c r="DI16" s="8" t="s">
        <f>=-Портфель!J40</f>
      </c>
      <c r="DJ16" s="0" t="s">
        <v>913</v>
      </c>
      <c r="DK16" s="11" t="n">
        <v>45714</v>
      </c>
      <c r="DL16" s="6" t="s">
        <f>=759.68</f>
      </c>
      <c r="DM16" s="0" t="s">
        <v>912</v>
      </c>
      <c r="DN16" s="11" t="n">
        <v>45776</v>
      </c>
      <c r="DO16" s="6" t="s">
        <f>=667.6</f>
      </c>
      <c r="DP16" s="0" t="s">
        <v>912</v>
      </c>
      <c r="DQ16" s="11" t="n">
        <v>46078</v>
      </c>
      <c r="DR16" s="8" t="s">
        <f>=-Портфель!J43</f>
      </c>
      <c r="DS16" s="0" t="s">
        <v>913</v>
      </c>
      <c r="DT16" s="11" t="n">
        <v>45959</v>
      </c>
      <c r="DU16" s="6" t="s">
        <f>=775.63</f>
      </c>
      <c r="DV16" s="0" t="s">
        <v>912</v>
      </c>
      <c r="DW16" s="11" t="n">
        <v>45714</v>
      </c>
      <c r="DX16" s="6" t="s">
        <f>=627.39</f>
      </c>
      <c r="DY16" s="0" t="s">
        <v>912</v>
      </c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11" t="n">
        <v>45561</v>
      </c>
      <c r="GI16" s="6" t="s">
        <f>=-31.22</f>
      </c>
      <c r="GJ16" s="0" t="s">
        <v>615</v>
      </c>
      <c r="GK16" s="11" t="n">
        <v>45862</v>
      </c>
      <c r="GL16" s="6" t="s">
        <f>=-34.68</f>
      </c>
      <c r="GM16" s="0" t="s">
        <v>808</v>
      </c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8" t="s">
        <f>=-SUM(IQ2:IQ14)</f>
      </c>
      <c r="IR16" s="0" t="s">
        <v>914</v>
      </c>
      <c r="IS16" s="11" t="n">
        <v>46078</v>
      </c>
      <c r="IT16" s="8" t="s">
        <f>=-Портфель!J87</f>
      </c>
      <c r="IU16" s="0" t="s">
        <v>913</v>
      </c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11" t="n">
        <v>45775</v>
      </c>
      <c r="JL16" s="6" t="s">
        <f>=-19.17</f>
      </c>
      <c r="JM16" s="0" t="s">
        <v>732</v>
      </c>
      <c r="JN16" s="0"/>
      <c r="JO16" s="0"/>
      <c r="JP16" s="0"/>
      <c r="JQ16" s="0"/>
      <c r="JR16" s="0"/>
      <c r="JS16" s="0"/>
      <c r="JT16" s="0"/>
      <c r="JU16" s="0"/>
      <c r="JV16" s="0"/>
      <c r="JW16" s="11" t="n">
        <v>46078</v>
      </c>
      <c r="JX16" s="8" t="s">
        <f>=-Портфель!J97</f>
      </c>
      <c r="JY16" s="0" t="s">
        <v>913</v>
      </c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8" t="s">
        <f>=-SUM(KY2:KY14)</f>
      </c>
      <c r="KZ16" s="0" t="s">
        <v>914</v>
      </c>
      <c r="LA16" s="0"/>
      <c r="LB16" s="0"/>
      <c r="LC16" s="0"/>
      <c r="LD16" s="11" t="n">
        <v>45950</v>
      </c>
      <c r="LE16" s="6" t="s">
        <f>=-11.18</f>
      </c>
      <c r="LF16" s="0" t="s">
        <v>613</v>
      </c>
      <c r="LG16" s="0"/>
      <c r="LH16" s="0"/>
      <c r="LI16" s="0"/>
      <c r="LJ16" s="11" t="n">
        <v>46078</v>
      </c>
      <c r="LK16" s="8" t="s">
        <f>=-Портфель!J110</f>
      </c>
      <c r="LL16" s="0" t="s">
        <v>913</v>
      </c>
      <c r="LM16" s="11" t="n">
        <v>46071</v>
      </c>
      <c r="LN16" s="6" t="s">
        <f>=-125</f>
      </c>
      <c r="LO16" s="0" t="s">
        <v>510</v>
      </c>
      <c r="LP16" s="11" t="n">
        <v>46042</v>
      </c>
      <c r="LQ16" s="6" t="s">
        <f>=-11.66</f>
      </c>
      <c r="LR16" s="0" t="s">
        <v>884</v>
      </c>
    </row>
    <row collapsed="false" customFormat="false" customHeight="false" hidden="false" ht="12.1" outlineLevel="0" r="17">
      <c r="A17" s="11" t="n">
        <v>45597</v>
      </c>
      <c r="B17" s="6" t="n">
        <v>7072.65</v>
      </c>
      <c r="C17" s="0" t="s">
        <v>912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46033</v>
      </c>
      <c r="W17" s="6" t="n">
        <v>-81.3</v>
      </c>
      <c r="X17" s="0" t="s">
        <v>882</v>
      </c>
      <c r="Y17" s="11" t="n">
        <v>46078</v>
      </c>
      <c r="Z17" s="8" t="s">
        <f>=-Портфель!J10</f>
      </c>
      <c r="AA17" s="0" t="s">
        <v>913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11" t="n">
        <v>45267</v>
      </c>
      <c r="BY17" s="6" t="s">
        <f>=2007.33</f>
      </c>
      <c r="BZ17" s="0" t="s">
        <v>912</v>
      </c>
      <c r="CA17" s="11" t="n">
        <v>45702</v>
      </c>
      <c r="CB17" s="6" t="s">
        <f>=1076.41</f>
      </c>
      <c r="CC17" s="0" t="s">
        <v>912</v>
      </c>
      <c r="CD17" s="11" t="n">
        <v>45876</v>
      </c>
      <c r="CE17" s="6" t="s">
        <f>=781.67</f>
      </c>
      <c r="CF17" s="0" t="s">
        <v>912</v>
      </c>
      <c r="CG17" s="11" t="n">
        <v>45356</v>
      </c>
      <c r="CH17" s="6" t="s">
        <f>=655.1</f>
      </c>
      <c r="CI17" s="0" t="s">
        <v>912</v>
      </c>
      <c r="CJ17" s="11" t="n">
        <v>46027</v>
      </c>
      <c r="CK17" s="6" t="s">
        <f>=922.86</f>
      </c>
      <c r="CL17" s="0" t="s">
        <v>912</v>
      </c>
      <c r="CM17" s="11" t="n">
        <v>45931</v>
      </c>
      <c r="CN17" s="6" t="s">
        <f>=911.16</f>
      </c>
      <c r="CO17" s="0" t="s">
        <v>912</v>
      </c>
      <c r="CP17" s="11" t="n">
        <v>45566</v>
      </c>
      <c r="CQ17" s="6" t="s">
        <f>=594.98</f>
      </c>
      <c r="CR17" s="0" t="s">
        <v>912</v>
      </c>
      <c r="CS17" s="11" t="n">
        <v>45447</v>
      </c>
      <c r="CT17" s="6" t="s">
        <f>=610.68</f>
      </c>
      <c r="CU17" s="0" t="s">
        <v>912</v>
      </c>
      <c r="CV17" s="11" t="n">
        <v>45714</v>
      </c>
      <c r="CW17" s="6" t="s">
        <f>=1094.6</f>
      </c>
      <c r="CX17" s="0" t="s">
        <v>912</v>
      </c>
      <c r="CY17" s="11" t="n">
        <v>45447</v>
      </c>
      <c r="CZ17" s="6" t="s">
        <f>=602.21</f>
      </c>
      <c r="DA17" s="0" t="s">
        <v>912</v>
      </c>
      <c r="DB17" s="11" t="n">
        <v>46027</v>
      </c>
      <c r="DC17" s="6" t="s">
        <f>=906.4</f>
      </c>
      <c r="DD17" s="0" t="s">
        <v>912</v>
      </c>
      <c r="DE17" s="11" t="n">
        <v>46027</v>
      </c>
      <c r="DF17" s="6" t="s">
        <f>=817.64</f>
      </c>
      <c r="DG17" s="0" t="s">
        <v>912</v>
      </c>
      <c r="DH17" s="0"/>
      <c r="DI17" s="10" t="s">
        <f>=XIRR(DI2:DI16,DH2:DH16)</f>
      </c>
      <c r="DJ17" s="0"/>
      <c r="DK17" s="11" t="n">
        <v>45714</v>
      </c>
      <c r="DL17" s="6" t="s">
        <f>=759.68</f>
      </c>
      <c r="DM17" s="0" t="s">
        <v>912</v>
      </c>
      <c r="DN17" s="11" t="n">
        <v>45869</v>
      </c>
      <c r="DO17" s="6" t="s">
        <f>=756.8</f>
      </c>
      <c r="DP17" s="0" t="s">
        <v>912</v>
      </c>
      <c r="DQ17" s="0"/>
      <c r="DR17" s="10" t="s">
        <f>=XIRR(DR2:DR16,DQ2:DQ16)</f>
      </c>
      <c r="DS17" s="0"/>
      <c r="DT17" s="11" t="n">
        <v>45959</v>
      </c>
      <c r="DU17" s="6" t="s">
        <f>=776.02</f>
      </c>
      <c r="DV17" s="0" t="s">
        <v>912</v>
      </c>
      <c r="DW17" s="11" t="n">
        <v>45798</v>
      </c>
      <c r="DX17" s="6" t="s">
        <f>=-361.5</f>
      </c>
      <c r="DY17" s="0" t="s">
        <v>755</v>
      </c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11" t="n">
        <v>45592</v>
      </c>
      <c r="GI17" s="6" t="s">
        <f>=-33.7</f>
      </c>
      <c r="GJ17" s="0" t="s">
        <v>633</v>
      </c>
      <c r="GK17" s="11" t="n">
        <v>45892</v>
      </c>
      <c r="GL17" s="6" t="s">
        <f>=-34.68</f>
      </c>
      <c r="GM17" s="0" t="s">
        <v>808</v>
      </c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10" t="s">
        <f>=XIRR(IT2:IT16,IS2:IS16)</f>
      </c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11" t="n">
        <v>45806</v>
      </c>
      <c r="JL17" s="6" t="s">
        <f>=-19.2</f>
      </c>
      <c r="JM17" s="0" t="s">
        <v>762</v>
      </c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10" t="s">
        <f>=XIRR(JX2:JX16,JW2:JW16)</f>
      </c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11" t="n">
        <v>45980</v>
      </c>
      <c r="LE17" s="6" t="s">
        <f>=-11.18</f>
      </c>
      <c r="LF17" s="0" t="s">
        <v>613</v>
      </c>
      <c r="LG17" s="0"/>
      <c r="LH17" s="0"/>
      <c r="LI17" s="0"/>
      <c r="LJ17" s="0"/>
      <c r="LK17" s="10" t="s">
        <f>=XIRR(LK2:LK16,LJ2:LJ16)</f>
      </c>
      <c r="LL17" s="0"/>
      <c r="LM17" s="11" t="n">
        <v>46072</v>
      </c>
      <c r="LN17" s="6" t="s">
        <f>=-6.5</f>
      </c>
      <c r="LO17" s="0" t="s">
        <v>756</v>
      </c>
      <c r="LP17" s="11" t="n">
        <v>46078</v>
      </c>
      <c r="LQ17" s="8" t="s">
        <f>=-Портфель!J112</f>
      </c>
      <c r="LR17" s="0" t="s">
        <v>913</v>
      </c>
    </row>
    <row collapsed="false" customFormat="false" customHeight="false" hidden="false" ht="12.1" outlineLevel="0" r="18">
      <c r="A18" s="11" t="n">
        <v>45639</v>
      </c>
      <c r="B18" s="6" t="n">
        <v>4579.5</v>
      </c>
      <c r="C18" s="0" t="s">
        <v>912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46078</v>
      </c>
      <c r="W18" s="8" t="s">
        <f>=-Портфель!J9</f>
      </c>
      <c r="X18" s="0" t="s">
        <v>913</v>
      </c>
      <c r="Y18" s="0"/>
      <c r="Z18" s="10" t="s">
        <f>=XIRR(Z2:Z17,Y2:Y17)</f>
      </c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11" t="n">
        <v>45322</v>
      </c>
      <c r="BY18" s="6" t="s">
        <f>=-608.4</f>
      </c>
      <c r="BZ18" s="0" t="s">
        <v>507</v>
      </c>
      <c r="CA18" s="11" t="n">
        <v>45714</v>
      </c>
      <c r="CB18" s="6" t="s">
        <f>=1084.33</f>
      </c>
      <c r="CC18" s="0" t="s">
        <v>912</v>
      </c>
      <c r="CD18" s="11" t="n">
        <v>45901</v>
      </c>
      <c r="CE18" s="6" t="s">
        <f>=798.28</f>
      </c>
      <c r="CF18" s="0" t="s">
        <v>912</v>
      </c>
      <c r="CG18" s="11" t="n">
        <v>45387</v>
      </c>
      <c r="CH18" s="6" t="s">
        <f>=618.7</f>
      </c>
      <c r="CI18" s="0" t="s">
        <v>912</v>
      </c>
      <c r="CJ18" s="11" t="n">
        <v>46078</v>
      </c>
      <c r="CK18" s="8" t="s">
        <f>=-Портфель!J32</f>
      </c>
      <c r="CL18" s="0" t="s">
        <v>913</v>
      </c>
      <c r="CM18" s="11" t="n">
        <v>45994</v>
      </c>
      <c r="CN18" s="6" t="s">
        <f>=-855.12</f>
      </c>
      <c r="CO18" s="0" t="s">
        <v>863</v>
      </c>
      <c r="CP18" s="11" t="n">
        <v>45566</v>
      </c>
      <c r="CQ18" s="6" t="s">
        <f>=594.76</f>
      </c>
      <c r="CR18" s="0" t="s">
        <v>912</v>
      </c>
      <c r="CS18" s="11" t="n">
        <v>45506</v>
      </c>
      <c r="CT18" s="6" t="s">
        <f>=600.32</f>
      </c>
      <c r="CU18" s="0" t="s">
        <v>912</v>
      </c>
      <c r="CV18" s="11" t="n">
        <v>45791</v>
      </c>
      <c r="CW18" s="6" t="s">
        <f>=-1033.89</f>
      </c>
      <c r="CX18" s="0" t="s">
        <v>749</v>
      </c>
      <c r="CY18" s="11" t="n">
        <v>45471</v>
      </c>
      <c r="CZ18" s="6" t="s">
        <f>=594.05</f>
      </c>
      <c r="DA18" s="0" t="s">
        <v>912</v>
      </c>
      <c r="DB18" s="11" t="n">
        <v>46078</v>
      </c>
      <c r="DC18" s="8" t="s">
        <f>=-Портфель!J38</f>
      </c>
      <c r="DD18" s="0" t="s">
        <v>913</v>
      </c>
      <c r="DE18" s="11" t="n">
        <v>46027</v>
      </c>
      <c r="DF18" s="6" t="s">
        <f>=817.65</f>
      </c>
      <c r="DG18" s="0" t="s">
        <v>912</v>
      </c>
      <c r="DH18" s="0"/>
      <c r="DI18" s="8" t="s">
        <f>=-SUM(DI2:DI16)</f>
      </c>
      <c r="DJ18" s="0" t="s">
        <v>914</v>
      </c>
      <c r="DK18" s="11" t="n">
        <v>45763</v>
      </c>
      <c r="DL18" s="6" t="s">
        <f>=-495.95</f>
      </c>
      <c r="DM18" s="0" t="s">
        <v>725</v>
      </c>
      <c r="DN18" s="11" t="n">
        <v>45876</v>
      </c>
      <c r="DO18" s="6" t="s">
        <f>=760.66</f>
      </c>
      <c r="DP18" s="0" t="s">
        <v>912</v>
      </c>
      <c r="DQ18" s="0"/>
      <c r="DR18" s="8" t="s">
        <f>=-SUM(DR2:DR16)</f>
      </c>
      <c r="DS18" s="0" t="s">
        <v>914</v>
      </c>
      <c r="DT18" s="11" t="n">
        <v>46078</v>
      </c>
      <c r="DU18" s="8" t="s">
        <f>=-Портфель!J44</f>
      </c>
      <c r="DV18" s="0" t="s">
        <v>913</v>
      </c>
      <c r="DW18" s="11" t="n">
        <v>45869</v>
      </c>
      <c r="DX18" s="6" t="s">
        <f>=702.59</f>
      </c>
      <c r="DY18" s="0" t="s">
        <v>912</v>
      </c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11" t="n">
        <v>45623</v>
      </c>
      <c r="GI18" s="6" t="s">
        <f>=-33.96</f>
      </c>
      <c r="GJ18" s="0" t="s">
        <v>646</v>
      </c>
      <c r="GK18" s="11" t="n">
        <v>45922</v>
      </c>
      <c r="GL18" s="6" t="s">
        <f>=-31.4</f>
      </c>
      <c r="GM18" s="0" t="s">
        <v>617</v>
      </c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8" t="s">
        <f>=-SUM(IT2:IT16)</f>
      </c>
      <c r="IU18" s="0" t="s">
        <v>914</v>
      </c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11" t="n">
        <v>45837</v>
      </c>
      <c r="JL18" s="6" t="s">
        <f>=-18.73</f>
      </c>
      <c r="JM18" s="0" t="s">
        <v>781</v>
      </c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8" t="s">
        <f>=-SUM(JX2:JX16)</f>
      </c>
      <c r="JY18" s="0" t="s">
        <v>914</v>
      </c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11" t="n">
        <v>46010</v>
      </c>
      <c r="LE18" s="6" t="s">
        <f>=-11.18</f>
      </c>
      <c r="LF18" s="0" t="s">
        <v>613</v>
      </c>
      <c r="LG18" s="0"/>
      <c r="LH18" s="0"/>
      <c r="LI18" s="0"/>
      <c r="LJ18" s="0"/>
      <c r="LK18" s="8" t="s">
        <f>=-SUM(LK2:LK16)</f>
      </c>
      <c r="LL18" s="0" t="s">
        <v>914</v>
      </c>
      <c r="LM18" s="11" t="n">
        <v>46078</v>
      </c>
      <c r="LN18" s="8" t="s">
        <f>=-Портфель!J111</f>
      </c>
      <c r="LO18" s="0" t="s">
        <v>913</v>
      </c>
      <c r="LP18" s="0"/>
      <c r="LQ18" s="10" t="s">
        <f>=XIRR(LQ2:LQ17,LP2:LP17)</f>
      </c>
      <c r="LR18" s="0"/>
    </row>
    <row collapsed="false" customFormat="false" customHeight="false" hidden="false" ht="12.1" outlineLevel="0" r="19">
      <c r="A19" s="11" t="n">
        <v>45840</v>
      </c>
      <c r="B19" s="6" t="n">
        <v>6406.96</v>
      </c>
      <c r="C19" s="0" t="s">
        <v>912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10" t="s">
        <f>=XIRR(W2:W18,V2:V18)</f>
      </c>
      <c r="X19" s="0"/>
      <c r="Y19" s="0"/>
      <c r="Z19" s="8" t="s">
        <f>=-SUM(Z2:Z17)</f>
      </c>
      <c r="AA19" s="0" t="s">
        <v>914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11" t="n">
        <v>45351</v>
      </c>
      <c r="BY19" s="6" t="s">
        <f>=644.92</f>
      </c>
      <c r="BZ19" s="0" t="s">
        <v>912</v>
      </c>
      <c r="CA19" s="11" t="n">
        <v>45714</v>
      </c>
      <c r="CB19" s="6" t="s">
        <f>=1084.33</f>
      </c>
      <c r="CC19" s="0" t="s">
        <v>912</v>
      </c>
      <c r="CD19" s="11" t="n">
        <v>45931</v>
      </c>
      <c r="CE19" s="6" t="s">
        <f>=766.41</f>
      </c>
      <c r="CF19" s="0" t="s">
        <v>912</v>
      </c>
      <c r="CG19" s="11" t="n">
        <v>45448</v>
      </c>
      <c r="CH19" s="6" t="s">
        <f>=-637.2</f>
      </c>
      <c r="CI19" s="0" t="s">
        <v>558</v>
      </c>
      <c r="CJ19" s="0"/>
      <c r="CK19" s="10" t="s">
        <f>=XIRR(CK2:CK18,CJ2:CJ18)</f>
      </c>
      <c r="CL19" s="0"/>
      <c r="CM19" s="11" t="n">
        <v>46078</v>
      </c>
      <c r="CN19" s="8" t="s">
        <f>=-Портфель!J33</f>
      </c>
      <c r="CO19" s="0" t="s">
        <v>913</v>
      </c>
      <c r="CP19" s="11" t="n">
        <v>45714</v>
      </c>
      <c r="CQ19" s="6" t="s">
        <f>=664.15</f>
      </c>
      <c r="CR19" s="0" t="s">
        <v>912</v>
      </c>
      <c r="CS19" s="11" t="n">
        <v>45567</v>
      </c>
      <c r="CT19" s="6" t="s">
        <f>=-614.24</f>
      </c>
      <c r="CU19" s="0" t="s">
        <v>620</v>
      </c>
      <c r="CV19" s="11" t="n">
        <v>45973</v>
      </c>
      <c r="CW19" s="6" t="s">
        <f>=-1232.44</f>
      </c>
      <c r="CX19" s="0" t="s">
        <v>852</v>
      </c>
      <c r="CY19" s="11" t="n">
        <v>45506</v>
      </c>
      <c r="CZ19" s="6" t="s">
        <f>=587.83</f>
      </c>
      <c r="DA19" s="0" t="s">
        <v>912</v>
      </c>
      <c r="DB19" s="0"/>
      <c r="DC19" s="10" t="s">
        <f>=XIRR(DC2:DC18,DB2:DB18)</f>
      </c>
      <c r="DD19" s="0"/>
      <c r="DE19" s="11" t="n">
        <v>46078</v>
      </c>
      <c r="DF19" s="8" t="s">
        <f>=-Портфель!J39</f>
      </c>
      <c r="DG19" s="0" t="s">
        <v>913</v>
      </c>
      <c r="DH19" s="0"/>
      <c r="DI19" s="0"/>
      <c r="DJ19" s="0"/>
      <c r="DK19" s="11" t="n">
        <v>45945</v>
      </c>
      <c r="DL19" s="6" t="s">
        <f>=-495.95</f>
      </c>
      <c r="DM19" s="0" t="s">
        <v>725</v>
      </c>
      <c r="DN19" s="11" t="n">
        <v>45931</v>
      </c>
      <c r="DO19" s="6" t="s">
        <f>=-460.68</f>
      </c>
      <c r="DP19" s="0" t="s">
        <v>833</v>
      </c>
      <c r="DQ19" s="0"/>
      <c r="DR19" s="0"/>
      <c r="DS19" s="0"/>
      <c r="DT19" s="0"/>
      <c r="DU19" s="10" t="s">
        <f>=XIRR(DU2:DU18,DT2:DT18)</f>
      </c>
      <c r="DV19" s="0"/>
      <c r="DW19" s="11" t="n">
        <v>45876</v>
      </c>
      <c r="DX19" s="6" t="s">
        <f>=702.48</f>
      </c>
      <c r="DY19" s="0" t="s">
        <v>912</v>
      </c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11" t="n">
        <v>45654</v>
      </c>
      <c r="GI19" s="6" t="s">
        <f>=-36.78</f>
      </c>
      <c r="GJ19" s="0" t="s">
        <v>672</v>
      </c>
      <c r="GK19" s="11" t="n">
        <v>45952</v>
      </c>
      <c r="GL19" s="6" t="s">
        <f>=-29.76</f>
      </c>
      <c r="GM19" s="0" t="s">
        <v>845</v>
      </c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11" t="n">
        <v>45868</v>
      </c>
      <c r="JL19" s="6" t="s">
        <f>=-18.4</f>
      </c>
      <c r="JM19" s="0" t="s">
        <v>810</v>
      </c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11" t="n">
        <v>46040</v>
      </c>
      <c r="LE19" s="6" t="s">
        <f>=-11.18</f>
      </c>
      <c r="LF19" s="0" t="s">
        <v>613</v>
      </c>
      <c r="LG19" s="0"/>
      <c r="LH19" s="0"/>
      <c r="LI19" s="0"/>
      <c r="LJ19" s="0"/>
      <c r="LK19" s="0"/>
      <c r="LL19" s="0"/>
      <c r="LM19" s="0"/>
      <c r="LN19" s="10" t="s">
        <f>=XIRR(LN2:LN18,LM2:LM18)</f>
      </c>
      <c r="LO19" s="0"/>
      <c r="LP19" s="0"/>
      <c r="LQ19" s="8" t="s">
        <f>=-SUM(LQ2:LQ17)</f>
      </c>
      <c r="LR19" s="0" t="s">
        <v>914</v>
      </c>
    </row>
    <row collapsed="false" customFormat="false" customHeight="false" hidden="false" ht="12.1" outlineLevel="0" r="20">
      <c r="A20" s="11" t="n">
        <v>45856</v>
      </c>
      <c r="B20" s="6" t="n">
        <v>-6968</v>
      </c>
      <c r="C20" s="0" t="s">
        <v>800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8" t="s">
        <f>=-SUM(W2:W18)</f>
      </c>
      <c r="X20" s="0" t="s">
        <v>914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45351</v>
      </c>
      <c r="BY20" s="6" t="s">
        <f>=2579.7</f>
      </c>
      <c r="BZ20" s="0" t="s">
        <v>912</v>
      </c>
      <c r="CA20" s="11" t="n">
        <v>45826</v>
      </c>
      <c r="CB20" s="6" t="s">
        <f>=-1390.62</f>
      </c>
      <c r="CC20" s="0" t="s">
        <v>779</v>
      </c>
      <c r="CD20" s="11" t="n">
        <v>45994</v>
      </c>
      <c r="CE20" s="6" t="s">
        <f>=-830.79</f>
      </c>
      <c r="CF20" s="0" t="s">
        <v>862</v>
      </c>
      <c r="CG20" s="11" t="n">
        <v>45471</v>
      </c>
      <c r="CH20" s="6" t="s">
        <f>=2185.88</f>
      </c>
      <c r="CI20" s="0" t="s">
        <v>912</v>
      </c>
      <c r="CJ20" s="0"/>
      <c r="CK20" s="8" t="s">
        <f>=-SUM(CK2:CK18)</f>
      </c>
      <c r="CL20" s="0" t="s">
        <v>914</v>
      </c>
      <c r="CM20" s="0"/>
      <c r="CN20" s="10" t="s">
        <f>=XIRR(CN2:CN19,CM2:CM19)</f>
      </c>
      <c r="CO20" s="0"/>
      <c r="CP20" s="11" t="n">
        <v>45735</v>
      </c>
      <c r="CQ20" s="6" t="s">
        <f>=-411.88</f>
      </c>
      <c r="CR20" s="0" t="s">
        <v>703</v>
      </c>
      <c r="CS20" s="11" t="n">
        <v>45714</v>
      </c>
      <c r="CT20" s="6" t="s">
        <f>=607.69</f>
      </c>
      <c r="CU20" s="0" t="s">
        <v>912</v>
      </c>
      <c r="CV20" s="11" t="n">
        <v>46078</v>
      </c>
      <c r="CW20" s="8" t="s">
        <f>=-Портфель!J36</f>
      </c>
      <c r="CX20" s="0" t="s">
        <v>913</v>
      </c>
      <c r="CY20" s="11" t="n">
        <v>45518</v>
      </c>
      <c r="CZ20" s="6" t="s">
        <f>=-628.2</f>
      </c>
      <c r="DA20" s="0" t="s">
        <v>599</v>
      </c>
      <c r="DB20" s="0"/>
      <c r="DC20" s="8" t="s">
        <f>=-SUM(DC2:DC18)</f>
      </c>
      <c r="DD20" s="0" t="s">
        <v>914</v>
      </c>
      <c r="DE20" s="0"/>
      <c r="DF20" s="10" t="s">
        <f>=XIRR(DF2:DF19,DE2:DE19)</f>
      </c>
      <c r="DG20" s="0"/>
      <c r="DH20" s="0"/>
      <c r="DI20" s="0"/>
      <c r="DJ20" s="0"/>
      <c r="DK20" s="11" t="n">
        <v>46078</v>
      </c>
      <c r="DL20" s="8" t="s">
        <f>=-Портфель!J41</f>
      </c>
      <c r="DM20" s="0" t="s">
        <v>913</v>
      </c>
      <c r="DN20" s="11" t="n">
        <v>45931</v>
      </c>
      <c r="DO20" s="6" t="s">
        <f>=697.99</f>
      </c>
      <c r="DP20" s="0" t="s">
        <v>912</v>
      </c>
      <c r="DQ20" s="0"/>
      <c r="DR20" s="0"/>
      <c r="DS20" s="0"/>
      <c r="DT20" s="0"/>
      <c r="DU20" s="8" t="s">
        <f>=-SUM(DU2:DU18)</f>
      </c>
      <c r="DV20" s="0" t="s">
        <v>914</v>
      </c>
      <c r="DW20" s="11" t="n">
        <v>45931</v>
      </c>
      <c r="DX20" s="6" t="s">
        <f>=677.57</f>
      </c>
      <c r="DY20" s="0" t="s">
        <v>912</v>
      </c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11" t="n">
        <v>45685</v>
      </c>
      <c r="GI20" s="6" t="s">
        <f>=-38.4</f>
      </c>
      <c r="GJ20" s="0" t="s">
        <v>682</v>
      </c>
      <c r="GK20" s="11" t="n">
        <v>45982</v>
      </c>
      <c r="GL20" s="6" t="s">
        <f>=-29.76</f>
      </c>
      <c r="GM20" s="0" t="s">
        <v>845</v>
      </c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11" t="n">
        <v>45899</v>
      </c>
      <c r="JL20" s="6" t="s">
        <f>=-17.73</f>
      </c>
      <c r="JM20" s="0" t="s">
        <v>823</v>
      </c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11" t="n">
        <v>46070</v>
      </c>
      <c r="LE20" s="6" t="s">
        <f>=-11.18</f>
      </c>
      <c r="LF20" s="0" t="s">
        <v>613</v>
      </c>
      <c r="LG20" s="0"/>
      <c r="LH20" s="0"/>
      <c r="LI20" s="0"/>
      <c r="LJ20" s="0"/>
      <c r="LK20" s="0"/>
      <c r="LL20" s="0"/>
      <c r="LM20" s="0"/>
      <c r="LN20" s="8" t="s">
        <f>=-SUM(LN2:LN18)</f>
      </c>
      <c r="LO20" s="0" t="s">
        <v>914</v>
      </c>
    </row>
    <row collapsed="false" customFormat="false" customHeight="false" hidden="false" ht="12.1" outlineLevel="0" r="21">
      <c r="A21" s="11" t="n">
        <v>45869</v>
      </c>
      <c r="B21" s="6" t="n">
        <v>3043.52</v>
      </c>
      <c r="C21" s="0" t="s">
        <v>912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45356</v>
      </c>
      <c r="BY21" s="6" t="s">
        <f>=640.83</f>
      </c>
      <c r="BZ21" s="0" t="s">
        <v>912</v>
      </c>
      <c r="CA21" s="11" t="n">
        <v>46008</v>
      </c>
      <c r="CB21" s="6" t="s">
        <f>=-1571.36</f>
      </c>
      <c r="CC21" s="0" t="s">
        <v>869</v>
      </c>
      <c r="CD21" s="11" t="n">
        <v>46027</v>
      </c>
      <c r="CE21" s="6" t="s">
        <f>=760.6</f>
      </c>
      <c r="CF21" s="0" t="s">
        <v>912</v>
      </c>
      <c r="CG21" s="11" t="n">
        <v>45630</v>
      </c>
      <c r="CH21" s="6" t="s">
        <f>=-778.8</f>
      </c>
      <c r="CI21" s="0" t="s">
        <v>656</v>
      </c>
      <c r="CJ21" s="0"/>
      <c r="CK21" s="0"/>
      <c r="CL21" s="0"/>
      <c r="CM21" s="0"/>
      <c r="CN21" s="8" t="s">
        <f>=-SUM(CN2:CN19)</f>
      </c>
      <c r="CO21" s="0" t="s">
        <v>914</v>
      </c>
      <c r="CP21" s="11" t="n">
        <v>45917</v>
      </c>
      <c r="CQ21" s="6" t="s">
        <f>=-411.88</f>
      </c>
      <c r="CR21" s="0" t="s">
        <v>703</v>
      </c>
      <c r="CS21" s="11" t="n">
        <v>45749</v>
      </c>
      <c r="CT21" s="6" t="s">
        <f>=-652.63</f>
      </c>
      <c r="CU21" s="0" t="s">
        <v>716</v>
      </c>
      <c r="CV21" s="0"/>
      <c r="CW21" s="10" t="s">
        <f>=XIRR(CW2:CW20,CV2:CV20)</f>
      </c>
      <c r="CX21" s="0"/>
      <c r="CY21" s="11" t="n">
        <v>45700</v>
      </c>
      <c r="CZ21" s="6" t="s">
        <f>=-628.2</f>
      </c>
      <c r="DA21" s="0" t="s">
        <v>599</v>
      </c>
      <c r="DB21" s="0"/>
      <c r="DC21" s="0"/>
      <c r="DD21" s="0"/>
      <c r="DE21" s="0"/>
      <c r="DF21" s="8" t="s">
        <f>=-SUM(DF2:DF19)</f>
      </c>
      <c r="DG21" s="0" t="s">
        <v>914</v>
      </c>
      <c r="DH21" s="0"/>
      <c r="DI21" s="0"/>
      <c r="DJ21" s="0"/>
      <c r="DK21" s="0"/>
      <c r="DL21" s="10" t="s">
        <f>=XIRR(DL2:DL20,DK2:DK20)</f>
      </c>
      <c r="DM21" s="0"/>
      <c r="DN21" s="11" t="n">
        <v>45959</v>
      </c>
      <c r="DO21" s="6" t="s">
        <f>=700.58</f>
      </c>
      <c r="DP21" s="0" t="s">
        <v>912</v>
      </c>
      <c r="DQ21" s="0"/>
      <c r="DR21" s="0"/>
      <c r="DS21" s="0"/>
      <c r="DT21" s="0"/>
      <c r="DU21" s="0"/>
      <c r="DV21" s="0"/>
      <c r="DW21" s="11" t="n">
        <v>45959</v>
      </c>
      <c r="DX21" s="6" t="s">
        <f>=681.01</f>
      </c>
      <c r="DY21" s="0" t="s">
        <v>912</v>
      </c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11" t="n">
        <v>45716</v>
      </c>
      <c r="GI21" s="6" t="s">
        <f>=-37.64</f>
      </c>
      <c r="GJ21" s="0" t="s">
        <v>698</v>
      </c>
      <c r="GK21" s="11" t="n">
        <v>46012</v>
      </c>
      <c r="GL21" s="6" t="s">
        <f>=-28.94</f>
      </c>
      <c r="GM21" s="0" t="s">
        <v>871</v>
      </c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11" t="n">
        <v>45930</v>
      </c>
      <c r="JL21" s="6" t="s">
        <f>=-16.42</f>
      </c>
      <c r="JM21" s="0" t="s">
        <v>832</v>
      </c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11" t="n">
        <v>46078</v>
      </c>
      <c r="LE21" s="8" t="s">
        <f>=-Портфель!J108</f>
      </c>
      <c r="LF21" s="0" t="s">
        <v>913</v>
      </c>
    </row>
    <row collapsed="false" customFormat="false" customHeight="false" hidden="false" ht="12.1" outlineLevel="0" r="22">
      <c r="A22" s="11" t="n">
        <v>45901</v>
      </c>
      <c r="B22" s="6" t="n">
        <v>3092.84</v>
      </c>
      <c r="C22" s="0" t="s">
        <v>912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45387</v>
      </c>
      <c r="BY22" s="6" t="s">
        <f>=1817.45</f>
      </c>
      <c r="BZ22" s="0" t="s">
        <v>912</v>
      </c>
      <c r="CA22" s="11" t="n">
        <v>46078</v>
      </c>
      <c r="CB22" s="8" t="s">
        <f>=-Портфель!J29</f>
      </c>
      <c r="CC22" s="0" t="s">
        <v>913</v>
      </c>
      <c r="CD22" s="11" t="n">
        <v>46027</v>
      </c>
      <c r="CE22" s="6" t="s">
        <f>=760.58</f>
      </c>
      <c r="CF22" s="0" t="s">
        <v>912</v>
      </c>
      <c r="CG22" s="11" t="n">
        <v>45714</v>
      </c>
      <c r="CH22" s="6" t="s">
        <f>=556.13</f>
      </c>
      <c r="CI22" s="0" t="s">
        <v>912</v>
      </c>
      <c r="CJ22" s="0"/>
      <c r="CK22" s="0"/>
      <c r="CL22" s="0"/>
      <c r="CM22" s="0"/>
      <c r="CN22" s="0"/>
      <c r="CO22" s="0"/>
      <c r="CP22" s="11" t="n">
        <v>45959</v>
      </c>
      <c r="CQ22" s="6" t="s">
        <f>=692.02</f>
      </c>
      <c r="CR22" s="0" t="s">
        <v>912</v>
      </c>
      <c r="CS22" s="11" t="n">
        <v>45931</v>
      </c>
      <c r="CT22" s="6" t="s">
        <f>=-652.63</f>
      </c>
      <c r="CU22" s="0" t="s">
        <v>716</v>
      </c>
      <c r="CV22" s="0"/>
      <c r="CW22" s="8" t="s">
        <f>=-SUM(CW2:CW20)</f>
      </c>
      <c r="CX22" s="0" t="s">
        <v>914</v>
      </c>
      <c r="CY22" s="11" t="n">
        <v>45714</v>
      </c>
      <c r="CZ22" s="6" t="s">
        <f>=570.58</f>
      </c>
      <c r="DA22" s="0" t="s">
        <v>912</v>
      </c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8" t="s">
        <f>=-SUM(DL2:DL20)</f>
      </c>
      <c r="DM22" s="0" t="s">
        <v>914</v>
      </c>
      <c r="DN22" s="11" t="n">
        <v>46078</v>
      </c>
      <c r="DO22" s="8" t="s">
        <f>=-Портфель!J42</f>
      </c>
      <c r="DP22" s="0" t="s">
        <v>913</v>
      </c>
      <c r="DQ22" s="0"/>
      <c r="DR22" s="0"/>
      <c r="DS22" s="0"/>
      <c r="DT22" s="0"/>
      <c r="DU22" s="0"/>
      <c r="DV22" s="0"/>
      <c r="DW22" s="11" t="n">
        <v>45980</v>
      </c>
      <c r="DX22" s="6" t="s">
        <f>=-506.1</f>
      </c>
      <c r="DY22" s="0" t="s">
        <v>855</v>
      </c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11" t="n">
        <v>45747</v>
      </c>
      <c r="GI22" s="6" t="s">
        <f>=-37.72</f>
      </c>
      <c r="GJ22" s="0" t="s">
        <v>714</v>
      </c>
      <c r="GK22" s="11" t="n">
        <v>46042</v>
      </c>
      <c r="GL22" s="6" t="s">
        <f>=-28.94</f>
      </c>
      <c r="GM22" s="0" t="s">
        <v>871</v>
      </c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11" t="n">
        <v>45961</v>
      </c>
      <c r="JL22" s="6" t="s">
        <f>=-15.87</f>
      </c>
      <c r="JM22" s="0" t="s">
        <v>848</v>
      </c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10" t="s">
        <f>=XIRR(LE2:LE21,LD2:LD21)</f>
      </c>
      <c r="LF22" s="0"/>
    </row>
    <row collapsed="false" customFormat="false" customHeight="false" hidden="false" ht="12.1" outlineLevel="0" r="23">
      <c r="A23" s="11" t="n">
        <v>45931</v>
      </c>
      <c r="B23" s="6" t="n">
        <v>9017.9</v>
      </c>
      <c r="C23" s="0" t="s">
        <v>912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45447</v>
      </c>
      <c r="BY23" s="6" t="s">
        <f>=571.14</f>
      </c>
      <c r="BZ23" s="0" t="s">
        <v>912</v>
      </c>
      <c r="CA23" s="0"/>
      <c r="CB23" s="10" t="s">
        <f>=XIRR(CB2:CB22,CA2:CA22)</f>
      </c>
      <c r="CC23" s="0"/>
      <c r="CD23" s="11" t="n">
        <v>46078</v>
      </c>
      <c r="CE23" s="8" t="s">
        <f>=-Портфель!J30</f>
      </c>
      <c r="CF23" s="0" t="s">
        <v>913</v>
      </c>
      <c r="CG23" s="11" t="n">
        <v>45812</v>
      </c>
      <c r="CH23" s="6" t="s">
        <f>=-814.2</f>
      </c>
      <c r="CI23" s="0" t="s">
        <v>771</v>
      </c>
      <c r="CJ23" s="0"/>
      <c r="CK23" s="0"/>
      <c r="CL23" s="0"/>
      <c r="CM23" s="0"/>
      <c r="CN23" s="0"/>
      <c r="CO23" s="0"/>
      <c r="CP23" s="11" t="n">
        <v>45959</v>
      </c>
      <c r="CQ23" s="6" t="s">
        <f>=691.99</f>
      </c>
      <c r="CR23" s="0" t="s">
        <v>912</v>
      </c>
      <c r="CS23" s="11" t="n">
        <v>45931</v>
      </c>
      <c r="CT23" s="6" t="s">
        <f>=604.68</f>
      </c>
      <c r="CU23" s="0" t="s">
        <v>912</v>
      </c>
      <c r="CV23" s="0"/>
      <c r="CW23" s="0"/>
      <c r="CX23" s="0"/>
      <c r="CY23" s="11" t="n">
        <v>45882</v>
      </c>
      <c r="CZ23" s="6" t="s">
        <f>=-663.1</f>
      </c>
      <c r="DA23" s="0" t="s">
        <v>818</v>
      </c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10" t="s">
        <f>=XIRR(DO2:DO22,DN2:DN22)</f>
      </c>
      <c r="DP23" s="0"/>
      <c r="DQ23" s="0"/>
      <c r="DR23" s="0"/>
      <c r="DS23" s="0"/>
      <c r="DT23" s="0"/>
      <c r="DU23" s="0"/>
      <c r="DV23" s="0"/>
      <c r="DW23" s="11" t="n">
        <v>46078</v>
      </c>
      <c r="DX23" s="8" t="s">
        <f>=-Портфель!J45</f>
      </c>
      <c r="DY23" s="0" t="s">
        <v>913</v>
      </c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11" t="n">
        <v>45778</v>
      </c>
      <c r="GI23" s="6" t="s">
        <f>=-38.76</f>
      </c>
      <c r="GJ23" s="0" t="s">
        <v>737</v>
      </c>
      <c r="GK23" s="11" t="n">
        <v>46072</v>
      </c>
      <c r="GL23" s="6" t="s">
        <f>=-28.1</f>
      </c>
      <c r="GM23" s="0" t="s">
        <v>586</v>
      </c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11" t="n">
        <v>45992</v>
      </c>
      <c r="JL23" s="6" t="s">
        <f>=-15.24</f>
      </c>
      <c r="JM23" s="0" t="s">
        <v>859</v>
      </c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8" t="s">
        <f>=-SUM(LE2:LE21)</f>
      </c>
      <c r="LF23" s="0" t="s">
        <v>914</v>
      </c>
    </row>
    <row collapsed="false" customFormat="false" customHeight="false" hidden="false" ht="12.1" outlineLevel="0" r="24">
      <c r="A24" s="11" t="n">
        <v>45988</v>
      </c>
      <c r="B24" s="6" t="n">
        <v>5807.24</v>
      </c>
      <c r="C24" s="0" t="s">
        <v>912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45504</v>
      </c>
      <c r="BY24" s="6" t="s">
        <f>=-912.6</f>
      </c>
      <c r="BZ24" s="0" t="s">
        <v>594</v>
      </c>
      <c r="CA24" s="0"/>
      <c r="CB24" s="8" t="s">
        <f>=-SUM(CB2:CB22)</f>
      </c>
      <c r="CC24" s="0" t="s">
        <v>914</v>
      </c>
      <c r="CD24" s="0"/>
      <c r="CE24" s="10" t="s">
        <f>=XIRR(CE2:CE23,CD2:CD23)</f>
      </c>
      <c r="CF24" s="0"/>
      <c r="CG24" s="11" t="n">
        <v>45994</v>
      </c>
      <c r="CH24" s="6" t="s">
        <f>=-814.2</f>
      </c>
      <c r="CI24" s="0" t="s">
        <v>771</v>
      </c>
      <c r="CJ24" s="0"/>
      <c r="CK24" s="0"/>
      <c r="CL24" s="0"/>
      <c r="CM24" s="0"/>
      <c r="CN24" s="0"/>
      <c r="CO24" s="0"/>
      <c r="CP24" s="11" t="n">
        <v>45959</v>
      </c>
      <c r="CQ24" s="6" t="s">
        <f>=691.95</f>
      </c>
      <c r="CR24" s="0" t="s">
        <v>912</v>
      </c>
      <c r="CS24" s="11" t="n">
        <v>46078</v>
      </c>
      <c r="CT24" s="8" t="s">
        <f>=-Портфель!J35</f>
      </c>
      <c r="CU24" s="0" t="s">
        <v>913</v>
      </c>
      <c r="CV24" s="0"/>
      <c r="CW24" s="0"/>
      <c r="CX24" s="0"/>
      <c r="CY24" s="11" t="n">
        <v>46064</v>
      </c>
      <c r="CZ24" s="6" t="s">
        <f>=-663.1</f>
      </c>
      <c r="DA24" s="0" t="s">
        <v>818</v>
      </c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8" t="s">
        <f>=-SUM(DO2:DO22)</f>
      </c>
      <c r="DP24" s="0" t="s">
        <v>914</v>
      </c>
      <c r="DQ24" s="0"/>
      <c r="DR24" s="0"/>
      <c r="DS24" s="0"/>
      <c r="DT24" s="0"/>
      <c r="DU24" s="0"/>
      <c r="DV24" s="0"/>
      <c r="DW24" s="0"/>
      <c r="DX24" s="10" t="s">
        <f>=XIRR(DX2:DX23,DW2:DW23)</f>
      </c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11" t="n">
        <v>45809</v>
      </c>
      <c r="GI24" s="6" t="s">
        <f>=-38.6</f>
      </c>
      <c r="GJ24" s="0" t="s">
        <v>765</v>
      </c>
      <c r="GK24" s="11" t="n">
        <v>46078</v>
      </c>
      <c r="GL24" s="8" t="s">
        <f>=-Портфель!J67</f>
      </c>
      <c r="GM24" s="0" t="s">
        <v>913</v>
      </c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11" t="n">
        <v>46023</v>
      </c>
      <c r="JL24" s="6" t="s">
        <f>=-14.99</f>
      </c>
      <c r="JM24" s="0" t="s">
        <v>878</v>
      </c>
    </row>
    <row collapsed="false" customFormat="false" customHeight="false" hidden="false" ht="12.1" outlineLevel="0" r="25">
      <c r="A25" s="11" t="n">
        <v>46078</v>
      </c>
      <c r="B25" s="8" t="s">
        <f>=-Портфель!J2</f>
      </c>
      <c r="C25" s="0" t="s">
        <v>913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45686</v>
      </c>
      <c r="BY25" s="6" t="s">
        <f>=-912.6</f>
      </c>
      <c r="BZ25" s="0" t="s">
        <v>594</v>
      </c>
      <c r="CA25" s="0"/>
      <c r="CB25" s="0"/>
      <c r="CC25" s="0"/>
      <c r="CD25" s="0"/>
      <c r="CE25" s="8" t="s">
        <f>=-SUM(CE2:CE23)</f>
      </c>
      <c r="CF25" s="0" t="s">
        <v>914</v>
      </c>
      <c r="CG25" s="11" t="n">
        <v>46078</v>
      </c>
      <c r="CH25" s="8" t="s">
        <f>=-Портфель!J31</f>
      </c>
      <c r="CI25" s="0" t="s">
        <v>913</v>
      </c>
      <c r="CJ25" s="0"/>
      <c r="CK25" s="0"/>
      <c r="CL25" s="0"/>
      <c r="CM25" s="0"/>
      <c r="CN25" s="0"/>
      <c r="CO25" s="0"/>
      <c r="CP25" s="11" t="n">
        <v>46078</v>
      </c>
      <c r="CQ25" s="8" t="s">
        <f>=-Портфель!J34</f>
      </c>
      <c r="CR25" s="0" t="s">
        <v>913</v>
      </c>
      <c r="CS25" s="0"/>
      <c r="CT25" s="10" t="s">
        <f>=XIRR(CT2:CT24,CS2:CS24)</f>
      </c>
      <c r="CU25" s="0"/>
      <c r="CV25" s="0"/>
      <c r="CW25" s="0"/>
      <c r="CX25" s="0"/>
      <c r="CY25" s="11" t="n">
        <v>46078</v>
      </c>
      <c r="CZ25" s="8" t="s">
        <f>=-Портфель!J37</f>
      </c>
      <c r="DA25" s="0" t="s">
        <v>913</v>
      </c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8" t="s">
        <f>=-SUM(DX2:DX23)</f>
      </c>
      <c r="DY25" s="0" t="s">
        <v>914</v>
      </c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11" t="n">
        <v>45840</v>
      </c>
      <c r="GI25" s="6" t="s">
        <f>=-37.82</f>
      </c>
      <c r="GJ25" s="0" t="s">
        <v>782</v>
      </c>
      <c r="GK25" s="0"/>
      <c r="GL25" s="10" t="s">
        <f>=XIRR(GL2:GL24,GK2:GK24)</f>
      </c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11" t="n">
        <v>46054</v>
      </c>
      <c r="JL25" s="6" t="s">
        <f>=-14.78</f>
      </c>
      <c r="JM25" s="0" t="s">
        <v>891</v>
      </c>
    </row>
    <row collapsed="false" customFormat="false" customHeight="false" hidden="false" ht="12.1" outlineLevel="0" r="26">
      <c r="A26" s="0"/>
      <c r="B26" s="10" t="s">
        <f>=XIRR(B2:B25,A2:A25)</f>
      </c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45714</v>
      </c>
      <c r="BY26" s="6" t="s">
        <f>=544.85</f>
      </c>
      <c r="BZ26" s="0" t="s">
        <v>912</v>
      </c>
      <c r="CA26" s="0"/>
      <c r="CB26" s="0"/>
      <c r="CC26" s="0"/>
      <c r="CD26" s="0"/>
      <c r="CE26" s="0"/>
      <c r="CF26" s="0"/>
      <c r="CG26" s="0"/>
      <c r="CH26" s="10" t="s">
        <f>=XIRR(CH2:CH25,CG2:CG25)</f>
      </c>
      <c r="CI26" s="0"/>
      <c r="CJ26" s="0"/>
      <c r="CK26" s="0"/>
      <c r="CL26" s="0"/>
      <c r="CM26" s="0"/>
      <c r="CN26" s="0"/>
      <c r="CO26" s="0"/>
      <c r="CP26" s="0"/>
      <c r="CQ26" s="10" t="s">
        <f>=XIRR(CQ2:CQ25,CP2:CP25)</f>
      </c>
      <c r="CR26" s="0"/>
      <c r="CS26" s="0"/>
      <c r="CT26" s="8" t="s">
        <f>=-SUM(CT2:CT24)</f>
      </c>
      <c r="CU26" s="0" t="s">
        <v>914</v>
      </c>
      <c r="CV26" s="0"/>
      <c r="CW26" s="0"/>
      <c r="CX26" s="0"/>
      <c r="CY26" s="0"/>
      <c r="CZ26" s="10" t="s">
        <f>=XIRR(CZ2:CZ25,CY2:CY25)</f>
      </c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11" t="n">
        <v>45871</v>
      </c>
      <c r="GI26" s="6" t="s">
        <f>=-36.96</f>
      </c>
      <c r="GJ26" s="0" t="s">
        <v>815</v>
      </c>
      <c r="GK26" s="0"/>
      <c r="GL26" s="8" t="s">
        <f>=-SUM(GL2:GL24)</f>
      </c>
      <c r="GM26" s="0" t="s">
        <v>914</v>
      </c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11" t="n">
        <v>46078</v>
      </c>
      <c r="JL26" s="8" t="s">
        <f>=-Портфель!J93</f>
      </c>
      <c r="JM26" s="0" t="s">
        <v>913</v>
      </c>
    </row>
    <row collapsed="false" customFormat="false" customHeight="false" hidden="false" ht="12.1" outlineLevel="0" r="27">
      <c r="A27" s="0"/>
      <c r="B27" s="8" t="s">
        <f>=-SUM(B2:B25)</f>
      </c>
      <c r="C27" s="0" t="s">
        <v>914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45868</v>
      </c>
      <c r="BY27" s="6" t="s">
        <f>=-943.02</f>
      </c>
      <c r="BZ27" s="0" t="s">
        <v>811</v>
      </c>
      <c r="CA27" s="0"/>
      <c r="CB27" s="0"/>
      <c r="CC27" s="0"/>
      <c r="CD27" s="0"/>
      <c r="CE27" s="0"/>
      <c r="CF27" s="0"/>
      <c r="CG27" s="0"/>
      <c r="CH27" s="8" t="s">
        <f>=-SUM(CH2:CH25)</f>
      </c>
      <c r="CI27" s="0" t="s">
        <v>914</v>
      </c>
      <c r="CJ27" s="0"/>
      <c r="CK27" s="0"/>
      <c r="CL27" s="0"/>
      <c r="CM27" s="0"/>
      <c r="CN27" s="0"/>
      <c r="CO27" s="0"/>
      <c r="CP27" s="0"/>
      <c r="CQ27" s="8" t="s">
        <f>=-SUM(CQ2:CQ25)</f>
      </c>
      <c r="CR27" s="0" t="s">
        <v>914</v>
      </c>
      <c r="CS27" s="0"/>
      <c r="CT27" s="0"/>
      <c r="CU27" s="0"/>
      <c r="CV27" s="0"/>
      <c r="CW27" s="0"/>
      <c r="CX27" s="0"/>
      <c r="CY27" s="0"/>
      <c r="CZ27" s="8" t="s">
        <f>=-SUM(CZ2:CZ25)</f>
      </c>
      <c r="DA27" s="0" t="s">
        <v>914</v>
      </c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11" t="n">
        <v>45902</v>
      </c>
      <c r="GI27" s="6" t="s">
        <f>=-35.7</f>
      </c>
      <c r="GJ27" s="0" t="s">
        <v>824</v>
      </c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10" t="s">
        <f>=XIRR(JL2:JL26,JK2:JK26)</f>
      </c>
      <c r="JM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45869</v>
      </c>
      <c r="BY28" s="6" t="s">
        <f>=599.57</f>
      </c>
      <c r="BZ28" s="0" t="s">
        <v>912</v>
      </c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11" t="n">
        <v>45933</v>
      </c>
      <c r="GI28" s="6" t="s">
        <f>=-32.96</f>
      </c>
      <c r="GJ28" s="0" t="s">
        <v>834</v>
      </c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8" t="s">
        <f>=-SUM(JL2:JL26)</f>
      </c>
      <c r="JM28" s="0" t="s">
        <v>914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45876</v>
      </c>
      <c r="BY29" s="6" t="s">
        <f>=603.79</f>
      </c>
      <c r="BZ29" s="0" t="s">
        <v>912</v>
      </c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11" t="n">
        <v>45964</v>
      </c>
      <c r="GI29" s="6" t="s">
        <f>=-31.96</f>
      </c>
      <c r="GJ29" s="0" t="s">
        <v>849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45931</v>
      </c>
      <c r="BY30" s="6" t="s">
        <f>=580.01</f>
      </c>
      <c r="BZ30" s="0" t="s">
        <v>912</v>
      </c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11" t="n">
        <v>45995</v>
      </c>
      <c r="GI30" s="6" t="s">
        <f>=-30.72</f>
      </c>
      <c r="GJ30" s="0" t="s">
        <v>864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46050</v>
      </c>
      <c r="BY31" s="6" t="s">
        <f>=-1034.28</f>
      </c>
      <c r="BZ31" s="0" t="s">
        <v>889</v>
      </c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11" t="n">
        <v>46026</v>
      </c>
      <c r="GI31" s="6" t="s">
        <f>=-30.3</f>
      </c>
      <c r="GJ31" s="0" t="s">
        <v>879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46078</v>
      </c>
      <c r="BY32" s="8" t="s">
        <f>=-Портфель!J28</f>
      </c>
      <c r="BZ32" s="0" t="s">
        <v>913</v>
      </c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11" t="n">
        <v>46057</v>
      </c>
      <c r="GI32" s="6" t="s">
        <f>=-29.82</f>
      </c>
      <c r="GJ32" s="0" t="s">
        <v>892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10" t="s">
        <f>=XIRR(BY2:BY32,BX2:BX32)</f>
      </c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11" t="n">
        <v>46078</v>
      </c>
      <c r="GI33" s="8" t="s">
        <f>=-Портфель!J66</f>
      </c>
      <c r="GJ33" s="0" t="s">
        <v>913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8" t="s">
        <f>=-SUM(BY2:BY32)</f>
      </c>
      <c r="BZ34" s="0" t="s">
        <v>914</v>
      </c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10" t="s">
        <f>=XIRR(GI2:GI33,GH2:GH33)</f>
      </c>
      <c r="GJ34" s="0"/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8" t="s">
        <f>=-SUM(GI2:GI33)</f>
      </c>
      <c r="GJ35" s="0" t="s">
        <v>914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915</v>
      </c>
      <c r="C1" s="0"/>
      <c r="D1" s="0"/>
      <c r="E1" s="4" t="s">
        <v>916</v>
      </c>
      <c r="F1" s="0"/>
      <c r="G1" s="0"/>
      <c r="H1" s="4" t="s">
        <v>917</v>
      </c>
      <c r="I1" s="0"/>
      <c r="J1" s="0"/>
      <c r="K1" s="4" t="s">
        <v>918</v>
      </c>
      <c r="L1" s="0"/>
      <c r="M1" s="0"/>
      <c r="N1" s="4" t="s">
        <v>919</v>
      </c>
      <c r="O1" s="0"/>
      <c r="P1" s="0"/>
      <c r="Q1" s="4" t="s">
        <v>920</v>
      </c>
      <c r="R1" s="0"/>
      <c r="S1" s="0"/>
      <c r="T1" s="4" t="s">
        <v>921</v>
      </c>
      <c r="U1" s="0"/>
      <c r="V1" s="0"/>
      <c r="W1" s="4" t="s">
        <v>922</v>
      </c>
      <c r="X1" s="0"/>
      <c r="Y1" s="0"/>
      <c r="Z1" s="4" t="s">
        <v>923</v>
      </c>
      <c r="AA1" s="0"/>
      <c r="AB1" s="0"/>
      <c r="AC1" s="4" t="s">
        <v>924</v>
      </c>
      <c r="AD1" s="0"/>
      <c r="AE1" s="0"/>
      <c r="AF1" s="4" t="s">
        <v>925</v>
      </c>
      <c r="AG1" s="0"/>
      <c r="AH1" s="0"/>
      <c r="AI1" s="4" t="s">
        <v>926</v>
      </c>
      <c r="AJ1" s="0"/>
      <c r="AK1" s="0"/>
      <c r="AL1" s="4" t="s">
        <v>927</v>
      </c>
      <c r="AM1" s="0"/>
      <c r="AN1" s="0"/>
      <c r="AO1" s="4" t="s">
        <v>928</v>
      </c>
      <c r="AP1" s="0"/>
      <c r="AQ1" s="0"/>
      <c r="AR1" s="4" t="s">
        <v>929</v>
      </c>
      <c r="AS1" s="0"/>
      <c r="AT1" s="0"/>
      <c r="AU1" s="4" t="s">
        <v>930</v>
      </c>
      <c r="AV1" s="0"/>
      <c r="AW1" s="0"/>
      <c r="AX1" s="4" t="s">
        <v>931</v>
      </c>
      <c r="AY1" s="0"/>
      <c r="AZ1" s="0"/>
      <c r="BA1" s="4" t="s">
        <v>932</v>
      </c>
      <c r="BB1" s="0"/>
      <c r="BC1" s="0"/>
      <c r="BD1" s="4" t="s">
        <v>933</v>
      </c>
      <c r="BE1" s="0"/>
      <c r="BF1" s="0"/>
      <c r="BG1" s="4" t="s">
        <v>934</v>
      </c>
      <c r="BH1" s="0"/>
      <c r="BI1" s="0"/>
      <c r="BJ1" s="4" t="s">
        <v>935</v>
      </c>
      <c r="BK1" s="0"/>
      <c r="BL1" s="0"/>
      <c r="BM1" s="4" t="s">
        <v>936</v>
      </c>
      <c r="BN1" s="0"/>
      <c r="BO1" s="0"/>
      <c r="BP1" s="4" t="s">
        <v>937</v>
      </c>
      <c r="BQ1" s="0"/>
    </row>
    <row collapsed="false" customFormat="false" customHeight="false" hidden="false" ht="12.1" outlineLevel="0" r="2">
      <c r="A2" s="11" t="n">
        <v>44692</v>
      </c>
      <c r="B2" s="6" t="n">
        <v>1010.1</v>
      </c>
      <c r="C2" s="0" t="s">
        <v>912</v>
      </c>
      <c r="D2" s="11" t="n">
        <v>44693</v>
      </c>
      <c r="E2" s="6" t="n">
        <v>877.98</v>
      </c>
      <c r="F2" s="0" t="s">
        <v>912</v>
      </c>
      <c r="G2" s="11" t="n">
        <v>44694</v>
      </c>
      <c r="H2" s="6" t="n">
        <v>737.63</v>
      </c>
      <c r="I2" s="0" t="s">
        <v>912</v>
      </c>
      <c r="J2" s="11" t="n">
        <v>44694</v>
      </c>
      <c r="K2" s="6" t="n">
        <v>842.45</v>
      </c>
      <c r="L2" s="0" t="s">
        <v>912</v>
      </c>
      <c r="M2" s="11" t="n">
        <v>44708</v>
      </c>
      <c r="N2" s="6" t="n">
        <v>396.69</v>
      </c>
      <c r="O2" s="0" t="s">
        <v>912</v>
      </c>
      <c r="P2" s="11" t="n">
        <v>44750</v>
      </c>
      <c r="Q2" s="6" t="n">
        <v>313.34</v>
      </c>
      <c r="R2" s="0" t="s">
        <v>912</v>
      </c>
      <c r="S2" s="11" t="n">
        <v>44858</v>
      </c>
      <c r="T2" s="6" t="n">
        <v>745.73</v>
      </c>
      <c r="U2" s="0" t="s">
        <v>912</v>
      </c>
      <c r="V2" s="11" t="n">
        <v>44903</v>
      </c>
      <c r="W2" s="6" t="n">
        <v>1075.65</v>
      </c>
      <c r="X2" s="0" t="s">
        <v>912</v>
      </c>
      <c r="Y2" s="11" t="n">
        <v>45056</v>
      </c>
      <c r="Z2" s="6" t="n">
        <v>1001.3</v>
      </c>
      <c r="AA2" s="0" t="s">
        <v>912</v>
      </c>
      <c r="AB2" s="11" t="n">
        <v>45082</v>
      </c>
      <c r="AC2" s="6" t="n">
        <v>955.14</v>
      </c>
      <c r="AD2" s="0" t="s">
        <v>912</v>
      </c>
      <c r="AE2" s="11" t="n">
        <v>45082</v>
      </c>
      <c r="AF2" s="6" t="n">
        <v>1033.91</v>
      </c>
      <c r="AG2" s="0" t="s">
        <v>912</v>
      </c>
      <c r="AH2" s="11" t="n">
        <v>45082</v>
      </c>
      <c r="AI2" s="6" t="n">
        <v>901.24</v>
      </c>
      <c r="AJ2" s="0" t="s">
        <v>912</v>
      </c>
      <c r="AK2" s="11" t="n">
        <v>45104</v>
      </c>
      <c r="AL2" s="6" t="n">
        <v>1004</v>
      </c>
      <c r="AM2" s="0" t="s">
        <v>912</v>
      </c>
      <c r="AN2" s="11" t="n">
        <v>45124</v>
      </c>
      <c r="AO2" s="6" t="n">
        <v>618.65</v>
      </c>
      <c r="AP2" s="0" t="s">
        <v>912</v>
      </c>
      <c r="AQ2" s="11" t="n">
        <v>45147</v>
      </c>
      <c r="AR2" s="6" t="n">
        <v>985.31</v>
      </c>
      <c r="AS2" s="0" t="s">
        <v>912</v>
      </c>
      <c r="AT2" s="11" t="n">
        <v>45147</v>
      </c>
      <c r="AU2" s="6" t="n">
        <v>827.99</v>
      </c>
      <c r="AV2" s="0" t="s">
        <v>912</v>
      </c>
      <c r="AW2" s="11" t="n">
        <v>45155</v>
      </c>
      <c r="AX2" s="6" t="n">
        <v>1815.81</v>
      </c>
      <c r="AY2" s="0" t="s">
        <v>912</v>
      </c>
      <c r="AZ2" s="11" t="n">
        <v>45244</v>
      </c>
      <c r="BA2" s="6" t="n">
        <v>2237.69</v>
      </c>
      <c r="BB2" s="0" t="s">
        <v>912</v>
      </c>
      <c r="BC2" s="11" t="n">
        <v>45324</v>
      </c>
      <c r="BD2" s="6" t="n">
        <v>1421.15</v>
      </c>
      <c r="BE2" s="0" t="s">
        <v>912</v>
      </c>
      <c r="BF2" s="11" t="n">
        <v>45356</v>
      </c>
      <c r="BG2" s="6" t="n">
        <v>587.34</v>
      </c>
      <c r="BH2" s="0" t="s">
        <v>912</v>
      </c>
      <c r="BI2" s="11" t="n">
        <v>45356</v>
      </c>
      <c r="BJ2" s="6" t="n">
        <v>264.52</v>
      </c>
      <c r="BK2" s="0" t="s">
        <v>912</v>
      </c>
      <c r="BL2" s="11" t="n">
        <v>45471</v>
      </c>
      <c r="BM2" s="6" t="n">
        <v>3138.89</v>
      </c>
      <c r="BN2" s="0" t="s">
        <v>912</v>
      </c>
      <c r="BO2" s="11" t="n">
        <v>45597</v>
      </c>
      <c r="BP2" s="6" t="n">
        <v>2846.51</v>
      </c>
      <c r="BQ2" s="0" t="s">
        <v>912</v>
      </c>
    </row>
    <row collapsed="false" customFormat="false" customHeight="false" hidden="false" ht="12.1" outlineLevel="0" r="3">
      <c r="A3" s="11" t="n">
        <v>44769</v>
      </c>
      <c r="B3" s="6" t="n">
        <v>-29.03</v>
      </c>
      <c r="C3" s="0" t="s">
        <v>357</v>
      </c>
      <c r="D3" s="11" t="n">
        <v>44868</v>
      </c>
      <c r="E3" s="6" t="n">
        <v>-42.38</v>
      </c>
      <c r="F3" s="0" t="s">
        <v>371</v>
      </c>
      <c r="G3" s="11" t="n">
        <v>44706</v>
      </c>
      <c r="H3" s="6" t="n">
        <v>-16.08</v>
      </c>
      <c r="I3" s="0" t="s">
        <v>351</v>
      </c>
      <c r="J3" s="11" t="n">
        <v>44749</v>
      </c>
      <c r="K3" s="6" t="n">
        <v>-27.92</v>
      </c>
      <c r="L3" s="0" t="s">
        <v>354</v>
      </c>
      <c r="M3" s="11" t="n">
        <v>44746</v>
      </c>
      <c r="N3" s="6" t="n">
        <v>314.44</v>
      </c>
      <c r="O3" s="0" t="s">
        <v>912</v>
      </c>
      <c r="P3" s="11" t="n">
        <v>45301</v>
      </c>
      <c r="Q3" s="6" t="n">
        <v>-313.56</v>
      </c>
      <c r="R3" s="0" t="s">
        <v>938</v>
      </c>
      <c r="S3" s="11" t="n">
        <v>45118</v>
      </c>
      <c r="T3" s="6" t="n">
        <v>-50.254795</v>
      </c>
      <c r="U3" s="0" t="s">
        <v>435</v>
      </c>
      <c r="V3" s="11" t="n">
        <v>44958</v>
      </c>
      <c r="W3" s="6" t="n">
        <v>-71.9</v>
      </c>
      <c r="X3" s="0" t="s">
        <v>388</v>
      </c>
      <c r="Y3" s="11" t="n">
        <v>45068</v>
      </c>
      <c r="Z3" s="6" t="n">
        <v>-32.41</v>
      </c>
      <c r="AA3" s="0" t="s">
        <v>416</v>
      </c>
      <c r="AB3" s="11" t="n">
        <v>45084</v>
      </c>
      <c r="AC3" s="6" t="n">
        <v>-32.66</v>
      </c>
      <c r="AD3" s="0" t="s">
        <v>424</v>
      </c>
      <c r="AE3" s="11" t="n">
        <v>45156</v>
      </c>
      <c r="AF3" s="6" t="n">
        <v>-51.61</v>
      </c>
      <c r="AG3" s="0" t="s">
        <v>450</v>
      </c>
      <c r="AH3" s="11" t="n">
        <v>45090</v>
      </c>
      <c r="AI3" s="6" t="n">
        <v>-31.3</v>
      </c>
      <c r="AJ3" s="0" t="s">
        <v>428</v>
      </c>
      <c r="AK3" s="11" t="n">
        <v>45356</v>
      </c>
      <c r="AL3" s="6" t="n">
        <v>1235.9</v>
      </c>
      <c r="AM3" s="0" t="s">
        <v>912</v>
      </c>
      <c r="AN3" s="11" t="n">
        <v>45729</v>
      </c>
      <c r="AO3" s="6" t="n">
        <v>-172.28</v>
      </c>
      <c r="AP3" s="0" t="s">
        <v>938</v>
      </c>
      <c r="AQ3" s="11" t="n">
        <v>45317</v>
      </c>
      <c r="AR3" s="6" t="n">
        <v>-47.12</v>
      </c>
      <c r="AS3" s="0" t="s">
        <v>503</v>
      </c>
      <c r="AT3" s="11" t="n">
        <v>45195</v>
      </c>
      <c r="AU3" s="6" t="n">
        <v>-21.6</v>
      </c>
      <c r="AV3" s="0" t="s">
        <v>459</v>
      </c>
      <c r="AW3" s="11" t="n">
        <v>45308</v>
      </c>
      <c r="AX3" s="6" t="n">
        <v>-44.88</v>
      </c>
      <c r="AY3" s="0" t="s">
        <v>496</v>
      </c>
      <c r="AZ3" s="11" t="n">
        <v>45988</v>
      </c>
      <c r="BA3" s="6" t="n">
        <v>-1471.57</v>
      </c>
      <c r="BB3" s="0" t="s">
        <v>938</v>
      </c>
      <c r="BC3" s="11" t="n">
        <v>45493</v>
      </c>
      <c r="BD3" s="6" t="n">
        <v>-112.7</v>
      </c>
      <c r="BE3" s="0" t="s">
        <v>579</v>
      </c>
      <c r="BF3" s="11" t="n">
        <v>45358</v>
      </c>
      <c r="BG3" s="6" t="n">
        <v>-14.76</v>
      </c>
      <c r="BH3" s="0" t="s">
        <v>515</v>
      </c>
      <c r="BI3" s="11" t="n">
        <v>45427</v>
      </c>
      <c r="BJ3" s="6" t="n">
        <v>-4.67</v>
      </c>
      <c r="BK3" s="0" t="s">
        <v>542</v>
      </c>
      <c r="BL3" s="11" t="n">
        <v>45482</v>
      </c>
      <c r="BM3" s="6" t="n">
        <v>-160.38</v>
      </c>
      <c r="BN3" s="0" t="s">
        <v>571</v>
      </c>
      <c r="BO3" s="11" t="n">
        <v>45988</v>
      </c>
      <c r="BP3" s="6" t="n">
        <v>-2682.93</v>
      </c>
      <c r="BQ3" s="0" t="s">
        <v>938</v>
      </c>
    </row>
    <row collapsed="false" customFormat="false" customHeight="false" hidden="false" ht="12.1" outlineLevel="0" r="4">
      <c r="A4" s="11" t="n">
        <v>44860</v>
      </c>
      <c r="B4" s="6" t="n">
        <v>-19.69</v>
      </c>
      <c r="C4" s="0" t="s">
        <v>368</v>
      </c>
      <c r="D4" s="11" t="n">
        <v>45050</v>
      </c>
      <c r="E4" s="6" t="n">
        <v>-42.38</v>
      </c>
      <c r="F4" s="0" t="s">
        <v>371</v>
      </c>
      <c r="G4" s="11" t="n">
        <v>44797</v>
      </c>
      <c r="H4" s="6" t="n">
        <v>-16.08</v>
      </c>
      <c r="I4" s="0" t="s">
        <v>351</v>
      </c>
      <c r="J4" s="11" t="n">
        <v>44748</v>
      </c>
      <c r="K4" s="6" t="n">
        <v>-200</v>
      </c>
      <c r="L4" s="0" t="s">
        <v>353</v>
      </c>
      <c r="M4" s="11" t="n">
        <v>45597</v>
      </c>
      <c r="N4" s="6" t="n">
        <v>-1040</v>
      </c>
      <c r="O4" s="0" t="s">
        <v>938</v>
      </c>
      <c r="P4" s="0"/>
      <c r="Q4" s="10" t="s">
        <f>=XIRR(Q2:Q3,P2:P3)</f>
      </c>
      <c r="R4" s="0"/>
      <c r="S4" s="11" t="n">
        <v>45506</v>
      </c>
      <c r="T4" s="6" t="n">
        <v>598.89</v>
      </c>
      <c r="U4" s="0" t="s">
        <v>912</v>
      </c>
      <c r="V4" s="11" t="n">
        <v>45140</v>
      </c>
      <c r="W4" s="6" t="n">
        <v>-43.53</v>
      </c>
      <c r="X4" s="0" t="s">
        <v>444</v>
      </c>
      <c r="Y4" s="11" t="n">
        <v>45114</v>
      </c>
      <c r="Z4" s="6" t="n">
        <v>989.86</v>
      </c>
      <c r="AA4" s="0" t="s">
        <v>912</v>
      </c>
      <c r="AB4" s="11" t="n">
        <v>45266</v>
      </c>
      <c r="AC4" s="6" t="n">
        <v>-32.66</v>
      </c>
      <c r="AD4" s="0" t="s">
        <v>424</v>
      </c>
      <c r="AE4" s="11" t="n">
        <v>45338</v>
      </c>
      <c r="AF4" s="6" t="n">
        <v>-51.61</v>
      </c>
      <c r="AG4" s="0" t="s">
        <v>450</v>
      </c>
      <c r="AH4" s="11" t="n">
        <v>45272</v>
      </c>
      <c r="AI4" s="6" t="n">
        <v>-31.3</v>
      </c>
      <c r="AJ4" s="0" t="s">
        <v>428</v>
      </c>
      <c r="AK4" s="11" t="n">
        <v>45927</v>
      </c>
      <c r="AL4" s="6" t="n">
        <v>-1308.68</v>
      </c>
      <c r="AM4" s="0" t="s">
        <v>938</v>
      </c>
      <c r="AN4" s="0"/>
      <c r="AO4" s="10" t="s">
        <f>=XIRR(AO2:AO3,AN2:AN3)</f>
      </c>
      <c r="AP4" s="0"/>
      <c r="AQ4" s="11" t="n">
        <v>45499</v>
      </c>
      <c r="AR4" s="6" t="n">
        <v>-47.12</v>
      </c>
      <c r="AS4" s="0" t="s">
        <v>503</v>
      </c>
      <c r="AT4" s="11" t="n">
        <v>45194</v>
      </c>
      <c r="AU4" s="6" t="n">
        <v>-75</v>
      </c>
      <c r="AV4" s="0" t="s">
        <v>458</v>
      </c>
      <c r="AW4" s="11" t="n">
        <v>45490</v>
      </c>
      <c r="AX4" s="6" t="n">
        <v>-44.88</v>
      </c>
      <c r="AY4" s="0" t="s">
        <v>496</v>
      </c>
      <c r="AZ4" s="0"/>
      <c r="BA4" s="10" t="s">
        <f>=XIRR(BA2:BA3,AZ2:AZ3)</f>
      </c>
      <c r="BB4" s="0"/>
      <c r="BC4" s="11" t="n">
        <v>45541</v>
      </c>
      <c r="BD4" s="6" t="n">
        <v>903.2</v>
      </c>
      <c r="BE4" s="0" t="s">
        <v>912</v>
      </c>
      <c r="BF4" s="11" t="n">
        <v>45357</v>
      </c>
      <c r="BG4" s="6" t="n">
        <v>-67</v>
      </c>
      <c r="BH4" s="0" t="s">
        <v>513</v>
      </c>
      <c r="BI4" s="11" t="n">
        <v>45518</v>
      </c>
      <c r="BJ4" s="6" t="n">
        <v>-4.67</v>
      </c>
      <c r="BK4" s="0" t="s">
        <v>542</v>
      </c>
      <c r="BL4" s="11" t="n">
        <v>45988</v>
      </c>
      <c r="BM4" s="6" t="n">
        <v>-1935.68</v>
      </c>
      <c r="BN4" s="0" t="s">
        <v>938</v>
      </c>
      <c r="BO4" s="0"/>
      <c r="BP4" s="10" t="s">
        <f>=XIRR(BP2:BP3,BO2:BO3)</f>
      </c>
      <c r="BQ4" s="0"/>
    </row>
    <row collapsed="false" customFormat="false" customHeight="false" hidden="false" ht="12.1" outlineLevel="0" r="5">
      <c r="A5" s="11" t="n">
        <v>44951</v>
      </c>
      <c r="B5" s="6" t="n">
        <v>-18.31</v>
      </c>
      <c r="C5" s="0" t="s">
        <v>386</v>
      </c>
      <c r="D5" s="11" t="n">
        <v>45232</v>
      </c>
      <c r="E5" s="6" t="n">
        <v>-42.38</v>
      </c>
      <c r="F5" s="0" t="s">
        <v>371</v>
      </c>
      <c r="G5" s="11" t="n">
        <v>44888</v>
      </c>
      <c r="H5" s="6" t="n">
        <v>-16.08</v>
      </c>
      <c r="I5" s="0" t="s">
        <v>351</v>
      </c>
      <c r="J5" s="11" t="n">
        <v>44840</v>
      </c>
      <c r="K5" s="6" t="n">
        <v>-20.94</v>
      </c>
      <c r="L5" s="0" t="s">
        <v>363</v>
      </c>
      <c r="M5" s="0"/>
      <c r="N5" s="10" t="s">
        <f>=XIRR(N2:N4,M2:M4)</f>
      </c>
      <c r="O5" s="0"/>
      <c r="P5" s="0"/>
      <c r="Q5" s="8" t="s">
        <f>=-SUM(Q2:Q3)</f>
      </c>
      <c r="R5" s="0" t="s">
        <v>914</v>
      </c>
      <c r="S5" s="11" t="n">
        <v>45927</v>
      </c>
      <c r="T5" s="6" t="n">
        <v>-855.76</v>
      </c>
      <c r="U5" s="0" t="s">
        <v>938</v>
      </c>
      <c r="V5" s="11" t="n">
        <v>45322</v>
      </c>
      <c r="W5" s="6" t="n">
        <v>-42.53</v>
      </c>
      <c r="X5" s="0" t="s">
        <v>506</v>
      </c>
      <c r="Y5" s="11" t="n">
        <v>45159</v>
      </c>
      <c r="Z5" s="6" t="n">
        <v>-64.82</v>
      </c>
      <c r="AA5" s="0" t="s">
        <v>452</v>
      </c>
      <c r="AB5" s="11" t="n">
        <v>45267</v>
      </c>
      <c r="AC5" s="6" t="n">
        <v>880.79</v>
      </c>
      <c r="AD5" s="0" t="s">
        <v>912</v>
      </c>
      <c r="AE5" s="11" t="n">
        <v>45520</v>
      </c>
      <c r="AF5" s="6" t="n">
        <v>-51.61</v>
      </c>
      <c r="AG5" s="0" t="s">
        <v>450</v>
      </c>
      <c r="AH5" s="11" t="n">
        <v>45271</v>
      </c>
      <c r="AI5" s="6" t="n">
        <v>-35</v>
      </c>
      <c r="AJ5" s="0" t="s">
        <v>487</v>
      </c>
      <c r="AK5" s="0"/>
      <c r="AL5" s="10" t="s">
        <f>=XIRR(AL2:AL4,AK2:AK4)</f>
      </c>
      <c r="AM5" s="0"/>
      <c r="AN5" s="0"/>
      <c r="AO5" s="8" t="s">
        <f>=-SUM(AO2:AO3)</f>
      </c>
      <c r="AP5" s="0" t="s">
        <v>914</v>
      </c>
      <c r="AQ5" s="11" t="n">
        <v>45498</v>
      </c>
      <c r="AR5" s="6" t="n">
        <v>-1000</v>
      </c>
      <c r="AS5" s="0" t="s">
        <v>584</v>
      </c>
      <c r="AT5" s="11" t="n">
        <v>45286</v>
      </c>
      <c r="AU5" s="6" t="n">
        <v>-19.63</v>
      </c>
      <c r="AV5" s="0" t="s">
        <v>492</v>
      </c>
      <c r="AW5" s="11" t="n">
        <v>45672</v>
      </c>
      <c r="AX5" s="6" t="n">
        <v>-44.88</v>
      </c>
      <c r="AY5" s="0" t="s">
        <v>496</v>
      </c>
      <c r="AZ5" s="0"/>
      <c r="BA5" s="8" t="s">
        <f>=-SUM(BA2:BA3)</f>
      </c>
      <c r="BB5" s="0" t="s">
        <v>914</v>
      </c>
      <c r="BC5" s="11" t="n">
        <v>45988</v>
      </c>
      <c r="BD5" s="6" t="n">
        <v>-1537.97</v>
      </c>
      <c r="BE5" s="0" t="s">
        <v>938</v>
      </c>
      <c r="BF5" s="11" t="n">
        <v>45449</v>
      </c>
      <c r="BG5" s="6" t="n">
        <v>-13.11</v>
      </c>
      <c r="BH5" s="0" t="s">
        <v>559</v>
      </c>
      <c r="BI5" s="11" t="n">
        <v>45609</v>
      </c>
      <c r="BJ5" s="6" t="n">
        <v>-4.67</v>
      </c>
      <c r="BK5" s="0" t="s">
        <v>542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914</v>
      </c>
    </row>
    <row collapsed="false" customFormat="false" customHeight="false" hidden="false" ht="12.1" outlineLevel="0" r="6">
      <c r="A6" s="11" t="n">
        <v>45042</v>
      </c>
      <c r="B6" s="6" t="n">
        <v>-17.98</v>
      </c>
      <c r="C6" s="0" t="s">
        <v>411</v>
      </c>
      <c r="D6" s="11" t="n">
        <v>45414</v>
      </c>
      <c r="E6" s="6" t="n">
        <v>-42.38</v>
      </c>
      <c r="F6" s="0" t="s">
        <v>371</v>
      </c>
      <c r="G6" s="11" t="n">
        <v>44887</v>
      </c>
      <c r="H6" s="6" t="n">
        <v>-250</v>
      </c>
      <c r="I6" s="0" t="s">
        <v>375</v>
      </c>
      <c r="J6" s="11" t="n">
        <v>44931</v>
      </c>
      <c r="K6" s="6" t="n">
        <v>-20.94</v>
      </c>
      <c r="L6" s="0" t="s">
        <v>363</v>
      </c>
      <c r="M6" s="0"/>
      <c r="N6" s="8" t="s">
        <f>=-SUM(N2:N4)</f>
      </c>
      <c r="O6" s="0" t="s">
        <v>914</v>
      </c>
      <c r="P6" s="0"/>
      <c r="Q6" s="0"/>
      <c r="R6" s="0"/>
      <c r="S6" s="0"/>
      <c r="T6" s="10" t="s">
        <f>=XIRR(T2:T5,S2:S5)</f>
      </c>
      <c r="U6" s="0"/>
      <c r="V6" s="11" t="n">
        <v>45504</v>
      </c>
      <c r="W6" s="6" t="n">
        <v>-72.6</v>
      </c>
      <c r="X6" s="0" t="s">
        <v>591</v>
      </c>
      <c r="Y6" s="11" t="n">
        <v>45250</v>
      </c>
      <c r="Z6" s="6" t="n">
        <v>-64.82</v>
      </c>
      <c r="AA6" s="0" t="s">
        <v>452</v>
      </c>
      <c r="AB6" s="11" t="n">
        <v>45448</v>
      </c>
      <c r="AC6" s="6" t="n">
        <v>-65.32</v>
      </c>
      <c r="AD6" s="0" t="s">
        <v>556</v>
      </c>
      <c r="AE6" s="11" t="n">
        <v>45702</v>
      </c>
      <c r="AF6" s="6" t="n">
        <v>-51.61</v>
      </c>
      <c r="AG6" s="0" t="s">
        <v>450</v>
      </c>
      <c r="AH6" s="11" t="n">
        <v>45454</v>
      </c>
      <c r="AI6" s="6" t="n">
        <v>-30.12</v>
      </c>
      <c r="AJ6" s="0" t="s">
        <v>561</v>
      </c>
      <c r="AK6" s="0"/>
      <c r="AL6" s="8" t="s">
        <f>=-SUM(AL2:AL4)</f>
      </c>
      <c r="AM6" s="0" t="s">
        <v>914</v>
      </c>
      <c r="AN6" s="0"/>
      <c r="AO6" s="0"/>
      <c r="AP6" s="0"/>
      <c r="AQ6" s="0"/>
      <c r="AR6" s="10" t="s">
        <f>=XIRR(AR2:AR5,AQ2:AQ5)</f>
      </c>
      <c r="AS6" s="0"/>
      <c r="AT6" s="11" t="n">
        <v>45285</v>
      </c>
      <c r="AU6" s="6" t="n">
        <v>-75</v>
      </c>
      <c r="AV6" s="0" t="s">
        <v>458</v>
      </c>
      <c r="AW6" s="11" t="n">
        <v>45854</v>
      </c>
      <c r="AX6" s="6" t="n">
        <v>-44.88</v>
      </c>
      <c r="AY6" s="0" t="s">
        <v>496</v>
      </c>
      <c r="AZ6" s="0"/>
      <c r="BA6" s="0"/>
      <c r="BB6" s="0"/>
      <c r="BC6" s="0"/>
      <c r="BD6" s="10" t="s">
        <f>=XIRR(BD2:BD5,BC2:BC5)</f>
      </c>
      <c r="BE6" s="0"/>
      <c r="BF6" s="11" t="n">
        <v>45448</v>
      </c>
      <c r="BG6" s="6" t="n">
        <v>-67</v>
      </c>
      <c r="BH6" s="0" t="s">
        <v>513</v>
      </c>
      <c r="BI6" s="11" t="n">
        <v>45700</v>
      </c>
      <c r="BJ6" s="6" t="n">
        <v>-4.67</v>
      </c>
      <c r="BK6" s="0" t="s">
        <v>542</v>
      </c>
      <c r="BL6" s="0"/>
      <c r="BM6" s="8" t="s">
        <f>=-SUM(BM2:BM4)</f>
      </c>
      <c r="BN6" s="0" t="s">
        <v>914</v>
      </c>
    </row>
    <row collapsed="false" customFormat="false" customHeight="false" hidden="false" ht="12.1" outlineLevel="0" r="7">
      <c r="A7" s="11" t="n">
        <v>45133</v>
      </c>
      <c r="B7" s="6" t="n">
        <v>-18.18</v>
      </c>
      <c r="C7" s="0" t="s">
        <v>440</v>
      </c>
      <c r="D7" s="11" t="n">
        <v>45596</v>
      </c>
      <c r="E7" s="6" t="n">
        <v>-42.38</v>
      </c>
      <c r="F7" s="0" t="s">
        <v>371</v>
      </c>
      <c r="G7" s="11" t="n">
        <v>44979</v>
      </c>
      <c r="H7" s="6" t="n">
        <v>-10.72</v>
      </c>
      <c r="I7" s="0" t="s">
        <v>396</v>
      </c>
      <c r="J7" s="11" t="n">
        <v>45022</v>
      </c>
      <c r="K7" s="6" t="n">
        <v>-20.94</v>
      </c>
      <c r="L7" s="0" t="s">
        <v>363</v>
      </c>
      <c r="M7" s="0"/>
      <c r="N7" s="0"/>
      <c r="O7" s="0"/>
      <c r="P7" s="0"/>
      <c r="Q7" s="0"/>
      <c r="R7" s="0"/>
      <c r="S7" s="0"/>
      <c r="T7" s="8" t="s">
        <f>=-SUM(T2:T5)</f>
      </c>
      <c r="U7" s="0" t="s">
        <v>914</v>
      </c>
      <c r="V7" s="11" t="n">
        <v>45686</v>
      </c>
      <c r="W7" s="6" t="n">
        <v>-84.72</v>
      </c>
      <c r="X7" s="0" t="s">
        <v>685</v>
      </c>
      <c r="Y7" s="11" t="n">
        <v>45341</v>
      </c>
      <c r="Z7" s="6" t="n">
        <v>-64.82</v>
      </c>
      <c r="AA7" s="0" t="s">
        <v>452</v>
      </c>
      <c r="AB7" s="11" t="n">
        <v>45630</v>
      </c>
      <c r="AC7" s="6" t="n">
        <v>-65.32</v>
      </c>
      <c r="AD7" s="0" t="s">
        <v>556</v>
      </c>
      <c r="AE7" s="11" t="n">
        <v>45884</v>
      </c>
      <c r="AF7" s="6" t="n">
        <v>-51.61</v>
      </c>
      <c r="AG7" s="0" t="s">
        <v>450</v>
      </c>
      <c r="AH7" s="11" t="n">
        <v>45636</v>
      </c>
      <c r="AI7" s="6" t="n">
        <v>-30.12</v>
      </c>
      <c r="AJ7" s="0" t="s">
        <v>561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914</v>
      </c>
      <c r="AT7" s="11" t="n">
        <v>45377</v>
      </c>
      <c r="AU7" s="6" t="n">
        <v>-17.67</v>
      </c>
      <c r="AV7" s="0" t="s">
        <v>522</v>
      </c>
      <c r="AW7" s="11" t="n">
        <v>45853</v>
      </c>
      <c r="AX7" s="6" t="n">
        <v>-2000</v>
      </c>
      <c r="AY7" s="0" t="s">
        <v>792</v>
      </c>
      <c r="AZ7" s="0"/>
      <c r="BA7" s="0"/>
      <c r="BB7" s="0"/>
      <c r="BC7" s="0"/>
      <c r="BD7" s="8" t="s">
        <f>=-SUM(BD2:BD5)</f>
      </c>
      <c r="BE7" s="0" t="s">
        <v>914</v>
      </c>
      <c r="BF7" s="11" t="n">
        <v>45540</v>
      </c>
      <c r="BG7" s="6" t="n">
        <v>-11.45</v>
      </c>
      <c r="BH7" s="0" t="s">
        <v>606</v>
      </c>
      <c r="BI7" s="11" t="n">
        <v>45791</v>
      </c>
      <c r="BJ7" s="6" t="n">
        <v>-4.67</v>
      </c>
      <c r="BK7" s="0" t="s">
        <v>542</v>
      </c>
    </row>
    <row collapsed="false" customFormat="false" customHeight="false" hidden="false" ht="12.1" outlineLevel="0" r="8">
      <c r="A8" s="11" t="n">
        <v>45224</v>
      </c>
      <c r="B8" s="6" t="n">
        <v>-27.78</v>
      </c>
      <c r="C8" s="0" t="s">
        <v>471</v>
      </c>
      <c r="D8" s="11" t="n">
        <v>45778</v>
      </c>
      <c r="E8" s="6" t="n">
        <v>-42.38</v>
      </c>
      <c r="F8" s="0" t="s">
        <v>371</v>
      </c>
      <c r="G8" s="11" t="n">
        <v>45070</v>
      </c>
      <c r="H8" s="6" t="n">
        <v>-10.72</v>
      </c>
      <c r="I8" s="0" t="s">
        <v>396</v>
      </c>
      <c r="J8" s="11" t="n">
        <v>45113</v>
      </c>
      <c r="K8" s="6" t="n">
        <v>-20.94</v>
      </c>
      <c r="L8" s="0" t="s">
        <v>363</v>
      </c>
      <c r="M8" s="0"/>
      <c r="N8" s="0"/>
      <c r="O8" s="0"/>
      <c r="P8" s="0"/>
      <c r="Q8" s="0"/>
      <c r="R8" s="0"/>
      <c r="S8" s="0"/>
      <c r="T8" s="0"/>
      <c r="U8" s="0"/>
      <c r="V8" s="11" t="n">
        <v>45685</v>
      </c>
      <c r="W8" s="6" t="n">
        <v>-1000</v>
      </c>
      <c r="X8" s="0" t="s">
        <v>681</v>
      </c>
      <c r="Y8" s="11" t="n">
        <v>45432</v>
      </c>
      <c r="Z8" s="6" t="n">
        <v>-64.82</v>
      </c>
      <c r="AA8" s="0" t="s">
        <v>452</v>
      </c>
      <c r="AB8" s="11" t="n">
        <v>45812</v>
      </c>
      <c r="AC8" s="6" t="n">
        <v>-65.32</v>
      </c>
      <c r="AD8" s="0" t="s">
        <v>556</v>
      </c>
      <c r="AE8" s="11" t="n">
        <v>46066</v>
      </c>
      <c r="AF8" s="6" t="n">
        <v>-51.61</v>
      </c>
      <c r="AG8" s="0" t="s">
        <v>450</v>
      </c>
      <c r="AH8" s="11" t="n">
        <v>45635</v>
      </c>
      <c r="AI8" s="6" t="n">
        <v>-35</v>
      </c>
      <c r="AJ8" s="0" t="s">
        <v>487</v>
      </c>
      <c r="AK8" s="0"/>
      <c r="AL8" s="0"/>
      <c r="AM8" s="0"/>
      <c r="AN8" s="0"/>
      <c r="AO8" s="0"/>
      <c r="AP8" s="0"/>
      <c r="AQ8" s="0"/>
      <c r="AR8" s="0"/>
      <c r="AS8" s="0"/>
      <c r="AT8" s="11" t="n">
        <v>45376</v>
      </c>
      <c r="AU8" s="6" t="n">
        <v>-75</v>
      </c>
      <c r="AV8" s="0" t="s">
        <v>458</v>
      </c>
      <c r="AW8" s="0"/>
      <c r="AX8" s="10" t="s">
        <f>=XIRR(AX2:AX7,AW2:AW7)</f>
      </c>
      <c r="AY8" s="0"/>
      <c r="AZ8" s="0"/>
      <c r="BA8" s="0"/>
      <c r="BB8" s="0"/>
      <c r="BC8" s="0"/>
      <c r="BD8" s="0"/>
      <c r="BE8" s="0"/>
      <c r="BF8" s="11" t="n">
        <v>45539</v>
      </c>
      <c r="BG8" s="6" t="n">
        <v>-67</v>
      </c>
      <c r="BH8" s="0" t="s">
        <v>513</v>
      </c>
      <c r="BI8" s="11" t="n">
        <v>45882</v>
      </c>
      <c r="BJ8" s="6" t="n">
        <v>-4.67</v>
      </c>
      <c r="BK8" s="0" t="s">
        <v>542</v>
      </c>
    </row>
    <row collapsed="false" customFormat="false" customHeight="false" hidden="false" ht="12.1" outlineLevel="0" r="9">
      <c r="A9" s="11" t="n">
        <v>45315</v>
      </c>
      <c r="B9" s="6" t="n">
        <v>-36.81</v>
      </c>
      <c r="C9" s="0" t="s">
        <v>501</v>
      </c>
      <c r="D9" s="11" t="n">
        <v>45777</v>
      </c>
      <c r="E9" s="6" t="n">
        <v>-1000</v>
      </c>
      <c r="F9" s="0" t="s">
        <v>735</v>
      </c>
      <c r="G9" s="11" t="n">
        <v>45161</v>
      </c>
      <c r="H9" s="6" t="n">
        <v>-10.72</v>
      </c>
      <c r="I9" s="0" t="s">
        <v>396</v>
      </c>
      <c r="J9" s="11" t="n">
        <v>45112</v>
      </c>
      <c r="K9" s="6" t="n">
        <v>-200</v>
      </c>
      <c r="L9" s="0" t="s">
        <v>353</v>
      </c>
      <c r="M9" s="0"/>
      <c r="N9" s="0"/>
      <c r="O9" s="0"/>
      <c r="P9" s="0"/>
      <c r="Q9" s="0"/>
      <c r="R9" s="0"/>
      <c r="S9" s="0"/>
      <c r="T9" s="0"/>
      <c r="U9" s="0"/>
      <c r="V9" s="0"/>
      <c r="W9" s="10" t="s">
        <f>=XIRR(W2:W8,V2:V8)</f>
      </c>
      <c r="X9" s="0"/>
      <c r="Y9" s="11" t="n">
        <v>45431</v>
      </c>
      <c r="Z9" s="6" t="n">
        <v>-300</v>
      </c>
      <c r="AA9" s="0" t="s">
        <v>544</v>
      </c>
      <c r="AB9" s="11" t="n">
        <v>45994</v>
      </c>
      <c r="AC9" s="6" t="n">
        <v>-65.32</v>
      </c>
      <c r="AD9" s="0" t="s">
        <v>556</v>
      </c>
      <c r="AE9" s="11" t="n">
        <v>46065</v>
      </c>
      <c r="AF9" s="6" t="n">
        <v>-1000</v>
      </c>
      <c r="AG9" s="0" t="s">
        <v>897</v>
      </c>
      <c r="AH9" s="11" t="n">
        <v>45818</v>
      </c>
      <c r="AI9" s="6" t="n">
        <v>-28.95</v>
      </c>
      <c r="AJ9" s="0" t="s">
        <v>777</v>
      </c>
      <c r="AK9" s="0"/>
      <c r="AL9" s="0"/>
      <c r="AM9" s="0"/>
      <c r="AN9" s="0"/>
      <c r="AO9" s="0"/>
      <c r="AP9" s="0"/>
      <c r="AQ9" s="0"/>
      <c r="AR9" s="0"/>
      <c r="AS9" s="0"/>
      <c r="AT9" s="11" t="n">
        <v>45468</v>
      </c>
      <c r="AU9" s="6" t="n">
        <v>-15.71</v>
      </c>
      <c r="AV9" s="0" t="s">
        <v>566</v>
      </c>
      <c r="AW9" s="0"/>
      <c r="AX9" s="8" t="s">
        <f>=-SUM(AX2:AX7)</f>
      </c>
      <c r="AY9" s="0" t="s">
        <v>914</v>
      </c>
      <c r="AZ9" s="0"/>
      <c r="BA9" s="0"/>
      <c r="BB9" s="0"/>
      <c r="BC9" s="0"/>
      <c r="BD9" s="0"/>
      <c r="BE9" s="0"/>
      <c r="BF9" s="11" t="n">
        <v>45631</v>
      </c>
      <c r="BG9" s="6" t="n">
        <v>-9.8</v>
      </c>
      <c r="BH9" s="0" t="s">
        <v>658</v>
      </c>
      <c r="BI9" s="11" t="n">
        <v>45973</v>
      </c>
      <c r="BJ9" s="6" t="n">
        <v>-4.67</v>
      </c>
      <c r="BK9" s="0" t="s">
        <v>542</v>
      </c>
    </row>
    <row collapsed="false" customFormat="false" customHeight="false" hidden="false" ht="12.1" outlineLevel="0" r="10">
      <c r="A10" s="11" t="n">
        <v>45406</v>
      </c>
      <c r="B10" s="6" t="n">
        <v>-39.13</v>
      </c>
      <c r="C10" s="0" t="s">
        <v>538</v>
      </c>
      <c r="D10" s="0"/>
      <c r="E10" s="10" t="s">
        <f>=XIRR(E2:E9,D2:D9)</f>
      </c>
      <c r="F10" s="0"/>
      <c r="G10" s="11" t="n">
        <v>45252</v>
      </c>
      <c r="H10" s="6" t="n">
        <v>-10.72</v>
      </c>
      <c r="I10" s="0" t="s">
        <v>396</v>
      </c>
      <c r="J10" s="11" t="n">
        <v>45204</v>
      </c>
      <c r="K10" s="6" t="n">
        <v>-13.96</v>
      </c>
      <c r="L10" s="0" t="s">
        <v>464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914</v>
      </c>
      <c r="Y10" s="11" t="n">
        <v>45523</v>
      </c>
      <c r="Z10" s="6" t="n">
        <v>-55.1</v>
      </c>
      <c r="AA10" s="0" t="s">
        <v>601</v>
      </c>
      <c r="AB10" s="11" t="n">
        <v>45993</v>
      </c>
      <c r="AC10" s="6" t="n">
        <v>-2000</v>
      </c>
      <c r="AD10" s="0" t="s">
        <v>860</v>
      </c>
      <c r="AE10" s="0"/>
      <c r="AF10" s="10" t="s">
        <f>=XIRR(AF2:AF9,AE2:AE9)</f>
      </c>
      <c r="AG10" s="0"/>
      <c r="AH10" s="11" t="n">
        <v>46000</v>
      </c>
      <c r="AI10" s="6" t="n">
        <v>-28.95</v>
      </c>
      <c r="AJ10" s="0" t="s">
        <v>777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45467</v>
      </c>
      <c r="AU10" s="6" t="n">
        <v>-150</v>
      </c>
      <c r="AV10" s="0" t="s">
        <v>565</v>
      </c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45630</v>
      </c>
      <c r="BG10" s="6" t="n">
        <v>-67</v>
      </c>
      <c r="BH10" s="0" t="s">
        <v>513</v>
      </c>
      <c r="BI10" s="11" t="n">
        <v>45972</v>
      </c>
      <c r="BJ10" s="6" t="n">
        <v>-300</v>
      </c>
      <c r="BK10" s="0" t="s">
        <v>851</v>
      </c>
    </row>
    <row collapsed="false" customFormat="false" customHeight="false" hidden="false" ht="12.1" outlineLevel="0" r="11">
      <c r="A11" s="11" t="n">
        <v>45405</v>
      </c>
      <c r="B11" s="6" t="n">
        <v>-1000</v>
      </c>
      <c r="C11" s="0" t="s">
        <v>535</v>
      </c>
      <c r="D11" s="0"/>
      <c r="E11" s="8" t="s">
        <f>=-SUM(E2:E9)</f>
      </c>
      <c r="F11" s="0" t="s">
        <v>914</v>
      </c>
      <c r="G11" s="11" t="n">
        <v>45251</v>
      </c>
      <c r="H11" s="6" t="n">
        <v>-250</v>
      </c>
      <c r="I11" s="0" t="s">
        <v>375</v>
      </c>
      <c r="J11" s="11" t="n">
        <v>45295</v>
      </c>
      <c r="K11" s="6" t="n">
        <v>-13.96</v>
      </c>
      <c r="L11" s="0" t="s">
        <v>464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45522</v>
      </c>
      <c r="Z11" s="6" t="n">
        <v>-400</v>
      </c>
      <c r="AA11" s="0" t="s">
        <v>600</v>
      </c>
      <c r="AB11" s="0"/>
      <c r="AC11" s="10" t="s">
        <f>=XIRR(AC2:AC10,AB2:AB10)</f>
      </c>
      <c r="AD11" s="0"/>
      <c r="AE11" s="0"/>
      <c r="AF11" s="8" t="s">
        <f>=-SUM(AF2:AF9)</f>
      </c>
      <c r="AG11" s="0" t="s">
        <v>914</v>
      </c>
      <c r="AH11" s="11" t="n">
        <v>45999</v>
      </c>
      <c r="AI11" s="6" t="n">
        <v>-860</v>
      </c>
      <c r="AJ11" s="0" t="s">
        <v>866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45559</v>
      </c>
      <c r="AU11" s="6" t="n">
        <v>-11.78</v>
      </c>
      <c r="AV11" s="0" t="s">
        <v>610</v>
      </c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45722</v>
      </c>
      <c r="BG11" s="6" t="n">
        <v>-8.15</v>
      </c>
      <c r="BH11" s="0" t="s">
        <v>700</v>
      </c>
      <c r="BI11" s="0"/>
      <c r="BJ11" s="10" t="s">
        <f>=XIRR(BJ2:BJ10,BI2:BI10)</f>
      </c>
      <c r="BK11" s="0"/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11" t="n">
        <v>45343</v>
      </c>
      <c r="H12" s="6" t="n">
        <v>-5.36</v>
      </c>
      <c r="I12" s="0" t="s">
        <v>509</v>
      </c>
      <c r="J12" s="11" t="n">
        <v>45386</v>
      </c>
      <c r="K12" s="6" t="n">
        <v>-13.96</v>
      </c>
      <c r="L12" s="0" t="s">
        <v>464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11" t="n">
        <v>45614</v>
      </c>
      <c r="Z12" s="6" t="n">
        <v>-42.14</v>
      </c>
      <c r="AA12" s="0" t="s">
        <v>642</v>
      </c>
      <c r="AB12" s="0"/>
      <c r="AC12" s="8" t="s">
        <f>=-SUM(AC2:AC10)</f>
      </c>
      <c r="AD12" s="0" t="s">
        <v>914</v>
      </c>
      <c r="AE12" s="0"/>
      <c r="AF12" s="0"/>
      <c r="AG12" s="0"/>
      <c r="AH12" s="0"/>
      <c r="AI12" s="10" t="s">
        <f>=XIRR(AI2:AI11,AH2:AH11)</f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45558</v>
      </c>
      <c r="AU12" s="6" t="n">
        <v>-150</v>
      </c>
      <c r="AV12" s="0" t="s">
        <v>565</v>
      </c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45721</v>
      </c>
      <c r="BG12" s="6" t="n">
        <v>-67</v>
      </c>
      <c r="BH12" s="0" t="s">
        <v>513</v>
      </c>
      <c r="BI12" s="0"/>
      <c r="BJ12" s="8" t="s">
        <f>=-SUM(BJ2:BJ10)</f>
      </c>
      <c r="BK12" s="0" t="s">
        <v>914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914</v>
      </c>
      <c r="D13" s="0"/>
      <c r="E13" s="0"/>
      <c r="F13" s="0"/>
      <c r="G13" s="11" t="n">
        <v>45434</v>
      </c>
      <c r="H13" s="6" t="n">
        <v>-5.36</v>
      </c>
      <c r="I13" s="0" t="s">
        <v>509</v>
      </c>
      <c r="J13" s="11" t="n">
        <v>45477</v>
      </c>
      <c r="K13" s="6" t="n">
        <v>-13.96</v>
      </c>
      <c r="L13" s="0" t="s">
        <v>464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45613</v>
      </c>
      <c r="Z13" s="6" t="n">
        <v>-500</v>
      </c>
      <c r="AA13" s="0" t="s">
        <v>641</v>
      </c>
      <c r="AB13" s="0"/>
      <c r="AC13" s="0"/>
      <c r="AD13" s="0"/>
      <c r="AE13" s="0"/>
      <c r="AF13" s="0"/>
      <c r="AG13" s="0"/>
      <c r="AH13" s="0"/>
      <c r="AI13" s="8" t="s">
        <f>=-SUM(AI2:AI11)</f>
      </c>
      <c r="AJ13" s="0" t="s">
        <v>914</v>
      </c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45650</v>
      </c>
      <c r="AU13" s="6" t="n">
        <v>-7.85</v>
      </c>
      <c r="AV13" s="0" t="s">
        <v>667</v>
      </c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45813</v>
      </c>
      <c r="BG13" s="6" t="n">
        <v>-6.49</v>
      </c>
      <c r="BH13" s="0" t="s">
        <v>773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45525</v>
      </c>
      <c r="H14" s="6" t="n">
        <v>-5.36</v>
      </c>
      <c r="I14" s="0" t="s">
        <v>509</v>
      </c>
      <c r="J14" s="11" t="n">
        <v>45476</v>
      </c>
      <c r="K14" s="6" t="n">
        <v>-200</v>
      </c>
      <c r="L14" s="0" t="s">
        <v>353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45705</v>
      </c>
      <c r="Z14" s="6" t="n">
        <v>-25.92</v>
      </c>
      <c r="AA14" s="0" t="s">
        <v>691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45649</v>
      </c>
      <c r="AU14" s="6" t="n">
        <v>-150</v>
      </c>
      <c r="AV14" s="0" t="s">
        <v>565</v>
      </c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45812</v>
      </c>
      <c r="BG14" s="6" t="n">
        <v>-263</v>
      </c>
      <c r="BH14" s="0" t="s">
        <v>769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45524</v>
      </c>
      <c r="H15" s="6" t="n">
        <v>-250</v>
      </c>
      <c r="I15" s="0" t="s">
        <v>375</v>
      </c>
      <c r="J15" s="11" t="n">
        <v>45568</v>
      </c>
      <c r="K15" s="6" t="n">
        <v>-6.98</v>
      </c>
      <c r="L15" s="0" t="s">
        <v>621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45704</v>
      </c>
      <c r="Z15" s="6" t="n">
        <v>-400</v>
      </c>
      <c r="AA15" s="0" t="s">
        <v>600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45741</v>
      </c>
      <c r="AU15" s="6" t="n">
        <v>-3.93</v>
      </c>
      <c r="AV15" s="0" t="s">
        <v>705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10" t="s">
        <f>=XIRR(BG2:BG14,BF2:BF14)</f>
      </c>
      <c r="BH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10" t="s">
        <f>=XIRR(H2:H15,G2:G15)</f>
      </c>
      <c r="I16" s="0"/>
      <c r="J16" s="11" t="n">
        <v>45659</v>
      </c>
      <c r="K16" s="6" t="n">
        <v>-6.98</v>
      </c>
      <c r="L16" s="0" t="s">
        <v>621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45796</v>
      </c>
      <c r="Z16" s="6" t="n">
        <v>-12.96</v>
      </c>
      <c r="AA16" s="0" t="s">
        <v>752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45740</v>
      </c>
      <c r="AU16" s="6" t="n">
        <v>-150</v>
      </c>
      <c r="AV16" s="0" t="s">
        <v>565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8" t="s">
        <f>=-SUM(BG2:BG14)</f>
      </c>
      <c r="BH16" s="0" t="s">
        <v>914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8" t="s">
        <f>=-SUM(H2:H15)</f>
      </c>
      <c r="I17" s="0" t="s">
        <v>914</v>
      </c>
      <c r="J17" s="11" t="n">
        <v>45750</v>
      </c>
      <c r="K17" s="6" t="n">
        <v>-6.98</v>
      </c>
      <c r="L17" s="0" t="s">
        <v>621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45795</v>
      </c>
      <c r="Z17" s="6" t="n">
        <v>-400</v>
      </c>
      <c r="AA17" s="0" t="s">
        <v>600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10" t="s">
        <f>=XIRR(AU2:AU16,AT2:AT16)</f>
      </c>
      <c r="AV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45841</v>
      </c>
      <c r="K18" s="6" t="n">
        <v>-6.98</v>
      </c>
      <c r="L18" s="0" t="s">
        <v>621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8" t="s">
        <f>=-SUM(AU2:AU16)</f>
      </c>
      <c r="AV18" s="0" t="s">
        <v>914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45840</v>
      </c>
      <c r="K19" s="6" t="n">
        <v>-200</v>
      </c>
      <c r="L19" s="0" t="s">
        <v>353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914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10" t="s">
        <f>=XIRR(K2:K19,J2:J19)</f>
      </c>
      <c r="L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8" t="s">
        <f>=-SUM(K2:K19)</f>
      </c>
      <c r="L21" s="0" t="s">
        <v>914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R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939</v>
      </c>
      <c r="C1" s="0"/>
      <c r="D1" s="0"/>
      <c r="E1" s="3" t="s">
        <v>940</v>
      </c>
      <c r="F1" s="0"/>
      <c r="G1" s="0"/>
      <c r="H1" s="3" t="s">
        <v>941</v>
      </c>
      <c r="I1" s="0"/>
      <c r="J1" s="0"/>
      <c r="K1" s="3" t="s">
        <v>942</v>
      </c>
      <c r="L1" s="0"/>
      <c r="M1" s="0"/>
      <c r="N1" s="3" t="s">
        <v>943</v>
      </c>
      <c r="O1" s="0"/>
      <c r="P1" s="0"/>
      <c r="Q1" s="3" t="s">
        <v>944</v>
      </c>
      <c r="R1" s="0"/>
      <c r="S1" s="0"/>
      <c r="T1" s="3" t="s">
        <v>945</v>
      </c>
      <c r="U1" s="0"/>
      <c r="V1" s="0"/>
      <c r="W1" s="3" t="s">
        <v>946</v>
      </c>
      <c r="X1" s="0"/>
      <c r="Y1" s="0"/>
      <c r="Z1" s="3" t="s">
        <v>947</v>
      </c>
      <c r="AA1" s="0"/>
      <c r="AB1" s="0"/>
      <c r="AC1" s="3" t="s">
        <v>948</v>
      </c>
      <c r="AD1" s="0"/>
      <c r="AE1" s="0"/>
      <c r="AF1" s="3" t="s">
        <v>949</v>
      </c>
      <c r="AG1" s="0"/>
      <c r="AH1" s="0"/>
      <c r="AI1" s="3" t="s">
        <v>950</v>
      </c>
      <c r="AJ1" s="0"/>
      <c r="AK1" s="0"/>
      <c r="AL1" s="3" t="s">
        <v>951</v>
      </c>
      <c r="AM1" s="0"/>
      <c r="AN1" s="0"/>
      <c r="AO1" s="3" t="s">
        <v>952</v>
      </c>
      <c r="AP1" s="0"/>
      <c r="AQ1" s="0"/>
      <c r="AR1" s="3" t="s">
        <v>953</v>
      </c>
      <c r="AS1" s="0"/>
      <c r="AT1" s="0"/>
      <c r="AU1" s="3" t="s">
        <v>954</v>
      </c>
      <c r="AV1" s="0"/>
      <c r="AW1" s="0"/>
      <c r="AX1" s="3" t="s">
        <v>955</v>
      </c>
      <c r="AY1" s="0"/>
      <c r="AZ1" s="0"/>
      <c r="BA1" s="3" t="s">
        <v>956</v>
      </c>
      <c r="BB1" s="0"/>
      <c r="BC1" s="0"/>
      <c r="BD1" s="3" t="s">
        <v>957</v>
      </c>
      <c r="BE1" s="0"/>
      <c r="BF1" s="0"/>
      <c r="BG1" s="3" t="s">
        <v>958</v>
      </c>
      <c r="BH1" s="0"/>
      <c r="BI1" s="0"/>
      <c r="BJ1" s="3" t="s">
        <v>959</v>
      </c>
      <c r="BK1" s="0"/>
      <c r="BL1" s="0"/>
      <c r="BM1" s="3" t="s">
        <v>960</v>
      </c>
      <c r="BN1" s="0"/>
      <c r="BO1" s="0"/>
      <c r="BP1" s="3" t="s">
        <v>961</v>
      </c>
      <c r="BQ1" s="0"/>
      <c r="BR1" s="0"/>
      <c r="BS1" s="3" t="s">
        <v>962</v>
      </c>
      <c r="BT1" s="0"/>
      <c r="BU1" s="0"/>
      <c r="BV1" s="3" t="s">
        <v>963</v>
      </c>
      <c r="BW1" s="0"/>
      <c r="BX1" s="0"/>
      <c r="BY1" s="3" t="s">
        <v>964</v>
      </c>
      <c r="BZ1" s="0"/>
      <c r="CA1" s="0"/>
      <c r="CB1" s="3" t="s">
        <v>965</v>
      </c>
      <c r="CC1" s="0"/>
      <c r="CD1" s="0"/>
      <c r="CE1" s="3" t="s">
        <v>966</v>
      </c>
      <c r="CF1" s="0"/>
      <c r="CG1" s="0"/>
      <c r="CH1" s="3" t="s">
        <v>967</v>
      </c>
      <c r="CI1" s="0"/>
      <c r="CJ1" s="0"/>
      <c r="CK1" s="3" t="s">
        <v>968</v>
      </c>
      <c r="CL1" s="0"/>
      <c r="CM1" s="0"/>
      <c r="CN1" s="3" t="s">
        <v>969</v>
      </c>
      <c r="CO1" s="0"/>
      <c r="CP1" s="0"/>
      <c r="CQ1" s="3" t="s">
        <v>970</v>
      </c>
      <c r="CR1" s="0"/>
      <c r="CS1" s="0"/>
      <c r="CT1" s="3" t="s">
        <v>971</v>
      </c>
      <c r="CU1" s="0"/>
      <c r="CV1" s="0"/>
      <c r="CW1" s="3" t="s">
        <v>972</v>
      </c>
      <c r="CX1" s="0"/>
      <c r="CY1" s="0"/>
      <c r="CZ1" s="3" t="s">
        <v>973</v>
      </c>
      <c r="DA1" s="0"/>
      <c r="DB1" s="0"/>
      <c r="DC1" s="3" t="s">
        <v>974</v>
      </c>
      <c r="DD1" s="0"/>
      <c r="DE1" s="0"/>
      <c r="DF1" s="3" t="s">
        <v>975</v>
      </c>
      <c r="DG1" s="0"/>
      <c r="DH1" s="0"/>
      <c r="DI1" s="3" t="s">
        <v>976</v>
      </c>
      <c r="DJ1" s="0"/>
      <c r="DK1" s="0"/>
      <c r="DL1" s="3" t="s">
        <v>977</v>
      </c>
      <c r="DM1" s="0"/>
      <c r="DN1" s="0"/>
      <c r="DO1" s="3" t="s">
        <v>978</v>
      </c>
      <c r="DP1" s="0"/>
      <c r="DQ1" s="0"/>
      <c r="DR1" s="3" t="s">
        <v>979</v>
      </c>
      <c r="DS1" s="0"/>
      <c r="DT1" s="0"/>
      <c r="DU1" s="3" t="s">
        <v>980</v>
      </c>
      <c r="DV1" s="0"/>
      <c r="DW1" s="0"/>
      <c r="DX1" s="3" t="s">
        <v>981</v>
      </c>
      <c r="DY1" s="0"/>
      <c r="DZ1" s="0"/>
      <c r="EA1" s="3" t="s">
        <v>982</v>
      </c>
      <c r="EB1" s="0"/>
      <c r="EC1" s="0"/>
      <c r="ED1" s="3" t="s">
        <v>983</v>
      </c>
      <c r="EE1" s="0"/>
      <c r="EF1" s="0"/>
      <c r="EG1" s="3" t="s">
        <v>984</v>
      </c>
      <c r="EH1" s="0"/>
      <c r="EI1" s="0"/>
      <c r="EJ1" s="3" t="s">
        <v>985</v>
      </c>
      <c r="EK1" s="0"/>
      <c r="EL1" s="0"/>
      <c r="EM1" s="3" t="s">
        <v>986</v>
      </c>
      <c r="EN1" s="0"/>
      <c r="EO1" s="0"/>
      <c r="EP1" s="3" t="s">
        <v>987</v>
      </c>
      <c r="EQ1" s="0"/>
      <c r="ER1" s="0"/>
      <c r="ES1" s="3" t="s">
        <v>988</v>
      </c>
      <c r="ET1" s="0"/>
      <c r="EU1" s="0"/>
      <c r="EV1" s="3" t="s">
        <v>989</v>
      </c>
      <c r="EW1" s="0"/>
      <c r="EX1" s="0"/>
      <c r="EY1" s="3" t="s">
        <v>990</v>
      </c>
      <c r="EZ1" s="0"/>
      <c r="FA1" s="0"/>
      <c r="FB1" s="3" t="s">
        <v>991</v>
      </c>
      <c r="FC1" s="0"/>
      <c r="FD1" s="0"/>
      <c r="FE1" s="3" t="s">
        <v>992</v>
      </c>
      <c r="FF1" s="0"/>
      <c r="FG1" s="0"/>
      <c r="FH1" s="3" t="s">
        <v>993</v>
      </c>
      <c r="FI1" s="0"/>
      <c r="FJ1" s="0"/>
      <c r="FK1" s="3" t="s">
        <v>994</v>
      </c>
      <c r="FL1" s="0"/>
      <c r="FM1" s="0"/>
      <c r="FN1" s="3" t="s">
        <v>995</v>
      </c>
      <c r="FO1" s="0"/>
      <c r="FP1" s="0"/>
      <c r="FQ1" s="3" t="s">
        <v>996</v>
      </c>
      <c r="FR1" s="0"/>
      <c r="FS1" s="0"/>
      <c r="FT1" s="3" t="s">
        <v>997</v>
      </c>
      <c r="FU1" s="0"/>
      <c r="FV1" s="0"/>
      <c r="FW1" s="3" t="s">
        <v>998</v>
      </c>
      <c r="FX1" s="0"/>
      <c r="FY1" s="0"/>
      <c r="FZ1" s="3" t="s">
        <v>999</v>
      </c>
      <c r="GA1" s="0"/>
      <c r="GB1" s="0"/>
      <c r="GC1" s="3" t="s">
        <v>1000</v>
      </c>
      <c r="GD1" s="0"/>
      <c r="GE1" s="0"/>
      <c r="GF1" s="3" t="s">
        <v>1001</v>
      </c>
      <c r="GG1" s="0"/>
      <c r="GH1" s="0"/>
      <c r="GI1" s="3" t="s">
        <v>1002</v>
      </c>
      <c r="GJ1" s="0"/>
      <c r="GK1" s="0"/>
      <c r="GL1" s="3" t="s">
        <v>1003</v>
      </c>
      <c r="GM1" s="0"/>
      <c r="GN1" s="0"/>
      <c r="GO1" s="3" t="s">
        <v>1004</v>
      </c>
      <c r="GP1" s="0"/>
      <c r="GQ1" s="0"/>
      <c r="GR1" s="3" t="s">
        <v>1005</v>
      </c>
      <c r="GS1" s="0"/>
      <c r="GT1" s="0"/>
      <c r="GU1" s="3" t="s">
        <v>1006</v>
      </c>
      <c r="GV1" s="0"/>
      <c r="GW1" s="0"/>
      <c r="GX1" s="3" t="s">
        <v>1007</v>
      </c>
      <c r="GY1" s="0"/>
      <c r="GZ1" s="0"/>
      <c r="HA1" s="3" t="s">
        <v>1008</v>
      </c>
      <c r="HB1" s="0"/>
      <c r="HC1" s="0"/>
      <c r="HD1" s="3" t="s">
        <v>1009</v>
      </c>
      <c r="HE1" s="0"/>
      <c r="HF1" s="0"/>
      <c r="HG1" s="3" t="s">
        <v>1010</v>
      </c>
      <c r="HH1" s="0"/>
      <c r="HI1" s="0"/>
      <c r="HJ1" s="3" t="s">
        <v>1011</v>
      </c>
      <c r="HK1" s="0"/>
      <c r="HL1" s="0"/>
      <c r="HM1" s="3" t="s">
        <v>1012</v>
      </c>
      <c r="HN1" s="0"/>
      <c r="HO1" s="0"/>
      <c r="HP1" s="3" t="s">
        <v>1013</v>
      </c>
      <c r="HQ1" s="0"/>
      <c r="HR1" s="0"/>
      <c r="HS1" s="3" t="s">
        <v>1014</v>
      </c>
      <c r="HT1" s="0"/>
      <c r="HU1" s="0"/>
      <c r="HV1" s="3" t="s">
        <v>1015</v>
      </c>
      <c r="HW1" s="0"/>
      <c r="HX1" s="0"/>
      <c r="HY1" s="3" t="s">
        <v>1016</v>
      </c>
      <c r="HZ1" s="0"/>
      <c r="IA1" s="0"/>
      <c r="IB1" s="3" t="s">
        <v>1017</v>
      </c>
      <c r="IC1" s="0"/>
      <c r="ID1" s="0"/>
      <c r="IE1" s="3" t="s">
        <v>1018</v>
      </c>
      <c r="IF1" s="0"/>
      <c r="IG1" s="0"/>
      <c r="IH1" s="3" t="s">
        <v>1019</v>
      </c>
      <c r="II1" s="0"/>
      <c r="IJ1" s="0"/>
      <c r="IK1" s="3" t="s">
        <v>1020</v>
      </c>
      <c r="IL1" s="0"/>
      <c r="IM1" s="0"/>
      <c r="IN1" s="3" t="s">
        <v>1021</v>
      </c>
      <c r="IO1" s="0"/>
      <c r="IP1" s="0"/>
      <c r="IQ1" s="3" t="s">
        <v>1022</v>
      </c>
      <c r="IR1" s="0"/>
      <c r="IS1" s="0"/>
      <c r="IT1" s="3" t="s">
        <v>1023</v>
      </c>
      <c r="IU1" s="0"/>
      <c r="IV1" s="0"/>
      <c r="IW1" s="3" t="s">
        <v>1024</v>
      </c>
      <c r="IX1" s="0"/>
      <c r="IY1" s="0"/>
      <c r="IZ1" s="3" t="s">
        <v>1025</v>
      </c>
      <c r="JA1" s="0"/>
      <c r="JB1" s="0"/>
      <c r="JC1" s="3" t="s">
        <v>1026</v>
      </c>
      <c r="JD1" s="0"/>
      <c r="JE1" s="0"/>
      <c r="JF1" s="3" t="s">
        <v>1027</v>
      </c>
      <c r="JG1" s="0"/>
      <c r="JH1" s="0"/>
      <c r="JI1" s="3" t="s">
        <v>1028</v>
      </c>
      <c r="JJ1" s="0"/>
      <c r="JK1" s="0"/>
      <c r="JL1" s="3" t="s">
        <v>1029</v>
      </c>
      <c r="JM1" s="0"/>
      <c r="JN1" s="0"/>
      <c r="JO1" s="3" t="s">
        <v>1030</v>
      </c>
      <c r="JP1" s="0"/>
      <c r="JQ1" s="0"/>
      <c r="JR1" s="3" t="s">
        <v>1031</v>
      </c>
      <c r="JS1" s="0"/>
      <c r="JT1" s="0"/>
      <c r="JU1" s="3" t="s">
        <v>1032</v>
      </c>
      <c r="JV1" s="0"/>
      <c r="JW1" s="0"/>
      <c r="JX1" s="3" t="s">
        <v>1033</v>
      </c>
      <c r="JY1" s="0"/>
      <c r="JZ1" s="0"/>
      <c r="KA1" s="3" t="s">
        <v>1034</v>
      </c>
      <c r="KB1" s="0"/>
      <c r="KC1" s="0"/>
      <c r="KD1" s="3" t="s">
        <v>1035</v>
      </c>
      <c r="KE1" s="0"/>
      <c r="KF1" s="0"/>
      <c r="KG1" s="3" t="s">
        <v>1036</v>
      </c>
      <c r="KH1" s="0"/>
      <c r="KI1" s="0"/>
      <c r="KJ1" s="3" t="s">
        <v>1037</v>
      </c>
      <c r="KK1" s="0"/>
      <c r="KL1" s="0"/>
      <c r="KM1" s="3" t="s">
        <v>1038</v>
      </c>
      <c r="KN1" s="0"/>
      <c r="KO1" s="0"/>
      <c r="KP1" s="3" t="s">
        <v>1039</v>
      </c>
      <c r="KQ1" s="0"/>
      <c r="KR1" s="0"/>
      <c r="KS1" s="3" t="s">
        <v>1040</v>
      </c>
      <c r="KT1" s="0"/>
      <c r="KU1" s="0"/>
      <c r="KV1" s="3" t="s">
        <v>1041</v>
      </c>
      <c r="KW1" s="0"/>
      <c r="KX1" s="0"/>
      <c r="KY1" s="3" t="s">
        <v>1042</v>
      </c>
      <c r="KZ1" s="0"/>
      <c r="LA1" s="0"/>
      <c r="LB1" s="3" t="s">
        <v>1043</v>
      </c>
      <c r="LC1" s="0"/>
      <c r="LD1" s="0"/>
      <c r="LE1" s="3" t="s">
        <v>1044</v>
      </c>
      <c r="LF1" s="0"/>
      <c r="LG1" s="0"/>
      <c r="LH1" s="3" t="s">
        <v>1045</v>
      </c>
      <c r="LI1" s="0"/>
      <c r="LJ1" s="0"/>
      <c r="LK1" s="3" t="s">
        <v>1046</v>
      </c>
      <c r="LL1" s="0"/>
      <c r="LM1" s="0"/>
      <c r="LN1" s="3" t="s">
        <v>1047</v>
      </c>
      <c r="LO1" s="0"/>
      <c r="LP1" s="0"/>
      <c r="LQ1" s="3" t="s">
        <v>1048</v>
      </c>
      <c r="LR1" s="0"/>
    </row>
    <row collapsed="false" customFormat="false" customHeight="false" hidden="false" ht="12.1" outlineLevel="0" r="2">
      <c r="A2" s="11" t="n">
        <v>44910</v>
      </c>
      <c r="B2" s="6" t="n">
        <v>10</v>
      </c>
      <c r="C2" s="6" t="n">
        <v>1362.07</v>
      </c>
      <c r="D2" s="11" t="n">
        <v>45869</v>
      </c>
      <c r="E2" s="6" t="n">
        <v>1</v>
      </c>
      <c r="F2" s="6" t="n">
        <v>4182.67</v>
      </c>
      <c r="G2" s="11" t="n">
        <v>45001</v>
      </c>
      <c r="H2" s="6" t="n">
        <v>10</v>
      </c>
      <c r="I2" s="6" t="n">
        <v>9215.06</v>
      </c>
      <c r="J2" s="11" t="n">
        <v>45639</v>
      </c>
      <c r="K2" s="6" t="n">
        <v>1</v>
      </c>
      <c r="L2" s="6" t="n">
        <v>2295.87</v>
      </c>
      <c r="M2" s="11" t="n">
        <v>44929</v>
      </c>
      <c r="N2" s="6" t="n">
        <v>10</v>
      </c>
      <c r="O2" s="6" t="n">
        <v>1419.65</v>
      </c>
      <c r="P2" s="11" t="n">
        <v>44769</v>
      </c>
      <c r="Q2" s="6" t="n">
        <v>10</v>
      </c>
      <c r="R2" s="6" t="n">
        <v>1976.51</v>
      </c>
      <c r="S2" s="11" t="n">
        <v>44984</v>
      </c>
      <c r="T2" s="6" t="n">
        <v>10</v>
      </c>
      <c r="U2" s="6" t="n">
        <v>1161.47</v>
      </c>
      <c r="V2" s="11" t="n">
        <v>44769</v>
      </c>
      <c r="W2" s="6" t="n">
        <v>1</v>
      </c>
      <c r="X2" s="6" t="n">
        <v>394.48</v>
      </c>
      <c r="Y2" s="11" t="n">
        <v>44769</v>
      </c>
      <c r="Z2" s="6" t="n">
        <v>100</v>
      </c>
      <c r="AA2" s="6" t="n">
        <v>331.59</v>
      </c>
      <c r="AB2" s="11" t="n">
        <v>45198</v>
      </c>
      <c r="AC2" s="6" t="n">
        <v>10</v>
      </c>
      <c r="AD2" s="6" t="n">
        <v>2761.76</v>
      </c>
      <c r="AE2" s="11" t="n">
        <v>44761</v>
      </c>
      <c r="AF2" s="6" t="n">
        <v>1</v>
      </c>
      <c r="AG2" s="6" t="n">
        <v>753.75</v>
      </c>
      <c r="AH2" s="11" t="n">
        <v>44748</v>
      </c>
      <c r="AI2" s="6" t="n">
        <v>2</v>
      </c>
      <c r="AJ2" s="6" t="n">
        <v>189.82</v>
      </c>
      <c r="AK2" s="11" t="n">
        <v>45085</v>
      </c>
      <c r="AL2" s="6" t="n">
        <v>100</v>
      </c>
      <c r="AM2" s="6" t="n">
        <v>3342</v>
      </c>
      <c r="AN2" s="11" t="n">
        <v>45639</v>
      </c>
      <c r="AO2" s="6" t="n">
        <v>10</v>
      </c>
      <c r="AP2" s="6" t="n">
        <v>3070.28</v>
      </c>
      <c r="AQ2" s="11" t="n">
        <v>44984</v>
      </c>
      <c r="AR2" s="6" t="n">
        <v>10</v>
      </c>
      <c r="AS2" s="6" t="n">
        <v>283.25</v>
      </c>
      <c r="AT2" s="11" t="n">
        <v>45035</v>
      </c>
      <c r="AU2" s="6" t="n">
        <v>10</v>
      </c>
      <c r="AV2" s="6" t="n">
        <v>638.11</v>
      </c>
      <c r="AW2" s="11" t="n">
        <v>45418</v>
      </c>
      <c r="AX2" s="6" t="n">
        <v>10</v>
      </c>
      <c r="AY2" s="6" t="n">
        <v>1541.21</v>
      </c>
      <c r="AZ2" s="11" t="n">
        <v>44929</v>
      </c>
      <c r="BA2" s="6" t="n">
        <v>100</v>
      </c>
      <c r="BB2" s="6" t="n">
        <v>1208.31</v>
      </c>
      <c r="BC2" s="11" t="n">
        <v>44858</v>
      </c>
      <c r="BD2" s="6" t="n">
        <v>100</v>
      </c>
      <c r="BE2" s="6" t="n">
        <v>626.47</v>
      </c>
      <c r="BF2" s="11" t="n">
        <v>44999</v>
      </c>
      <c r="BG2" s="6" t="n">
        <v>100</v>
      </c>
      <c r="BH2" s="6" t="n">
        <v>2232.68</v>
      </c>
      <c r="BI2" s="11" t="n">
        <v>44742</v>
      </c>
      <c r="BJ2" s="6" t="n">
        <v>1</v>
      </c>
      <c r="BK2" s="6" t="n">
        <v>1031.08</v>
      </c>
      <c r="BL2" s="11" t="n">
        <v>45729</v>
      </c>
      <c r="BM2" s="6" t="n">
        <v>10</v>
      </c>
      <c r="BN2" s="6" t="n">
        <v>1554.05</v>
      </c>
      <c r="BO2" s="11" t="n">
        <v>44699</v>
      </c>
      <c r="BP2" s="6" t="n">
        <v>10</v>
      </c>
      <c r="BQ2" s="6" t="n">
        <v>454.56</v>
      </c>
      <c r="BR2" s="11" t="n">
        <v>45471</v>
      </c>
      <c r="BS2" s="6" t="n">
        <v>10</v>
      </c>
      <c r="BT2" s="6" t="n">
        <v>421.81</v>
      </c>
      <c r="BU2" s="11" t="n">
        <v>45471</v>
      </c>
      <c r="BV2" s="6" t="n">
        <v>10</v>
      </c>
      <c r="BW2" s="6" t="n">
        <v>707.22</v>
      </c>
      <c r="BX2" s="11" t="n">
        <v>44708</v>
      </c>
      <c r="BY2" s="6" t="n">
        <v>1</v>
      </c>
      <c r="BZ2" s="6" t="n">
        <v>786.84</v>
      </c>
      <c r="CA2" s="11" t="n">
        <v>44739</v>
      </c>
      <c r="CB2" s="6" t="n">
        <v>1</v>
      </c>
      <c r="CC2" s="6" t="n">
        <v>1107.71</v>
      </c>
      <c r="CD2" s="11" t="n">
        <v>45147</v>
      </c>
      <c r="CE2" s="6" t="n">
        <v>3</v>
      </c>
      <c r="CF2" s="6" t="n">
        <v>2817.63</v>
      </c>
      <c r="CG2" s="11" t="n">
        <v>44903</v>
      </c>
      <c r="CH2" s="6" t="n">
        <v>1</v>
      </c>
      <c r="CI2" s="6" t="n">
        <v>766.25</v>
      </c>
      <c r="CJ2" s="11" t="n">
        <v>45702</v>
      </c>
      <c r="CK2" s="6" t="n">
        <v>1</v>
      </c>
      <c r="CL2" s="6" t="n">
        <v>886.71</v>
      </c>
      <c r="CM2" s="11" t="n">
        <v>45566</v>
      </c>
      <c r="CN2" s="6" t="n">
        <v>1</v>
      </c>
      <c r="CO2" s="6" t="n">
        <v>834.85</v>
      </c>
      <c r="CP2" s="11" t="n">
        <v>44699</v>
      </c>
      <c r="CQ2" s="6" t="n">
        <v>1</v>
      </c>
      <c r="CR2" s="6" t="n">
        <v>769.66</v>
      </c>
      <c r="CS2" s="11" t="n">
        <v>44868</v>
      </c>
      <c r="CT2" s="6" t="n">
        <v>1</v>
      </c>
      <c r="CU2" s="6" t="n">
        <v>831.71</v>
      </c>
      <c r="CV2" s="11" t="n">
        <v>44708</v>
      </c>
      <c r="CW2" s="6" t="n">
        <v>1</v>
      </c>
      <c r="CX2" s="6" t="n">
        <v>1064.65</v>
      </c>
      <c r="CY2" s="11" t="n">
        <v>44903</v>
      </c>
      <c r="CZ2" s="6" t="n">
        <v>1</v>
      </c>
      <c r="DA2" s="6" t="n">
        <v>808.71</v>
      </c>
      <c r="DB2" s="11" t="n">
        <v>45566</v>
      </c>
      <c r="DC2" s="6" t="n">
        <v>1</v>
      </c>
      <c r="DD2" s="6" t="n">
        <v>836.65</v>
      </c>
      <c r="DE2" s="11" t="n">
        <v>45303</v>
      </c>
      <c r="DF2" s="6" t="n">
        <v>2</v>
      </c>
      <c r="DG2" s="6" t="n">
        <v>1773.59</v>
      </c>
      <c r="DH2" s="11" t="n">
        <v>45702</v>
      </c>
      <c r="DI2" s="6" t="n">
        <v>1</v>
      </c>
      <c r="DJ2" s="6" t="n">
        <v>887.6</v>
      </c>
      <c r="DK2" s="11" t="n">
        <v>45061</v>
      </c>
      <c r="DL2" s="6" t="n">
        <v>1</v>
      </c>
      <c r="DM2" s="6" t="n">
        <v>897.96</v>
      </c>
      <c r="DN2" s="11" t="n">
        <v>44868</v>
      </c>
      <c r="DO2" s="6" t="n">
        <v>1</v>
      </c>
      <c r="DP2" s="6" t="n">
        <v>870.54</v>
      </c>
      <c r="DQ2" s="11" t="n">
        <v>45303</v>
      </c>
      <c r="DR2" s="6" t="n">
        <v>2</v>
      </c>
      <c r="DS2" s="6" t="n">
        <v>1984.34</v>
      </c>
      <c r="DT2" s="11" t="n">
        <v>45351</v>
      </c>
      <c r="DU2" s="6" t="n">
        <v>1</v>
      </c>
      <c r="DV2" s="6" t="n">
        <v>865.68</v>
      </c>
      <c r="DW2" s="11" t="n">
        <v>44708</v>
      </c>
      <c r="DX2" s="6" t="n">
        <v>1</v>
      </c>
      <c r="DY2" s="6" t="n">
        <v>858.05</v>
      </c>
      <c r="DZ2" s="11" t="n">
        <v>45026</v>
      </c>
      <c r="EA2" s="6" t="n">
        <v>1</v>
      </c>
      <c r="EB2" s="6" t="n">
        <v>1027.73</v>
      </c>
      <c r="EC2" s="11" t="n">
        <v>44903</v>
      </c>
      <c r="ED2" s="6" t="n">
        <v>1</v>
      </c>
      <c r="EE2" s="6" t="n">
        <v>1060.71</v>
      </c>
      <c r="EF2" s="11" t="n">
        <v>45901</v>
      </c>
      <c r="EG2" s="6" t="n">
        <v>1</v>
      </c>
      <c r="EH2" s="6" t="n">
        <v>928.66</v>
      </c>
      <c r="EI2" s="11" t="n">
        <v>45959</v>
      </c>
      <c r="EJ2" s="6" t="n">
        <v>1</v>
      </c>
      <c r="EK2" s="6" t="n">
        <v>885.1</v>
      </c>
      <c r="EL2" s="11" t="n">
        <v>45670</v>
      </c>
      <c r="EM2" s="6" t="n">
        <v>1</v>
      </c>
      <c r="EN2" s="6" t="n">
        <v>829.97</v>
      </c>
      <c r="EO2" s="11" t="n">
        <v>45447</v>
      </c>
      <c r="EP2" s="6" t="n">
        <v>1</v>
      </c>
      <c r="EQ2" s="6" t="n">
        <v>692.44</v>
      </c>
      <c r="ER2" s="11" t="n">
        <v>45009</v>
      </c>
      <c r="ES2" s="6" t="n">
        <v>1</v>
      </c>
      <c r="ET2" s="6" t="n">
        <v>1151.69</v>
      </c>
      <c r="EU2" s="11" t="n">
        <v>45541</v>
      </c>
      <c r="EV2" s="6" t="n">
        <v>1</v>
      </c>
      <c r="EW2" s="6" t="n">
        <v>841.44</v>
      </c>
      <c r="EX2" s="11" t="n">
        <v>45356</v>
      </c>
      <c r="EY2" s="6" t="n">
        <v>1</v>
      </c>
      <c r="EZ2" s="6" t="n">
        <v>878.2</v>
      </c>
      <c r="FA2" s="11" t="n">
        <v>45471</v>
      </c>
      <c r="FB2" s="6" t="n">
        <v>2</v>
      </c>
      <c r="FC2" s="6" t="n">
        <v>2548.19</v>
      </c>
      <c r="FD2" s="11" t="n">
        <v>46027</v>
      </c>
      <c r="FE2" s="6" t="n">
        <v>1</v>
      </c>
      <c r="FF2" s="6" t="n">
        <v>941.67</v>
      </c>
      <c r="FG2" s="11" t="n">
        <v>45541</v>
      </c>
      <c r="FH2" s="6" t="n">
        <v>1</v>
      </c>
      <c r="FI2" s="6" t="n">
        <v>806.56</v>
      </c>
      <c r="FJ2" s="11" t="n">
        <v>45670</v>
      </c>
      <c r="FK2" s="6" t="n">
        <v>1</v>
      </c>
      <c r="FL2" s="6" t="n">
        <v>869.81</v>
      </c>
      <c r="FM2" s="11" t="n">
        <v>45813</v>
      </c>
      <c r="FN2" s="6" t="n">
        <v>1</v>
      </c>
      <c r="FO2" s="6" t="n">
        <v>1086.68</v>
      </c>
      <c r="FP2" s="11" t="n">
        <v>46055</v>
      </c>
      <c r="FQ2" s="6" t="n">
        <v>1</v>
      </c>
      <c r="FR2" s="6" t="n">
        <v>1024.91</v>
      </c>
      <c r="FS2" s="11" t="n">
        <v>46055</v>
      </c>
      <c r="FT2" s="6" t="n">
        <v>1</v>
      </c>
      <c r="FU2" s="6" t="n">
        <v>1028.98</v>
      </c>
      <c r="FV2" s="11" t="n">
        <v>46055</v>
      </c>
      <c r="FW2" s="6" t="n">
        <v>1</v>
      </c>
      <c r="FX2" s="6" t="n">
        <v>1052.91</v>
      </c>
      <c r="FY2" s="11" t="n">
        <v>46055</v>
      </c>
      <c r="FZ2" s="6" t="n">
        <v>1</v>
      </c>
      <c r="GA2" s="6" t="n">
        <v>1038.96</v>
      </c>
      <c r="GB2" s="11" t="n">
        <v>46055</v>
      </c>
      <c r="GC2" s="6" t="n">
        <v>1</v>
      </c>
      <c r="GD2" s="6" t="n">
        <v>1013.41</v>
      </c>
      <c r="GE2" s="11" t="n">
        <v>45356</v>
      </c>
      <c r="GF2" s="6" t="n">
        <v>1</v>
      </c>
      <c r="GG2" s="6" t="n">
        <v>865.03</v>
      </c>
      <c r="GH2" s="11" t="n">
        <v>45147</v>
      </c>
      <c r="GI2" s="6" t="n">
        <v>2</v>
      </c>
      <c r="GJ2" s="6" t="n">
        <v>2031</v>
      </c>
      <c r="GK2" s="11" t="n">
        <v>45471</v>
      </c>
      <c r="GL2" s="6" t="n">
        <v>1</v>
      </c>
      <c r="GM2" s="6" t="n">
        <v>1016.68</v>
      </c>
      <c r="GN2" s="11" t="n">
        <v>46027</v>
      </c>
      <c r="GO2" s="6" t="n">
        <v>1</v>
      </c>
      <c r="GP2" s="6" t="n">
        <v>962.6</v>
      </c>
      <c r="GQ2" s="11" t="n">
        <v>46027</v>
      </c>
      <c r="GR2" s="6" t="n">
        <v>1</v>
      </c>
      <c r="GS2" s="6" t="n">
        <v>965.37</v>
      </c>
      <c r="GT2" s="11" t="n">
        <v>45082</v>
      </c>
      <c r="GU2" s="6" t="n">
        <v>1</v>
      </c>
      <c r="GV2" s="6" t="n">
        <v>1027.77</v>
      </c>
      <c r="GW2" s="11" t="n">
        <v>45541</v>
      </c>
      <c r="GX2" s="6" t="n">
        <v>1</v>
      </c>
      <c r="GY2" s="6" t="n">
        <v>817.83</v>
      </c>
      <c r="GZ2" s="11" t="n">
        <v>45729</v>
      </c>
      <c r="HA2" s="6" t="n">
        <v>1</v>
      </c>
      <c r="HB2" s="6" t="n">
        <v>783.05</v>
      </c>
      <c r="HC2" s="11" t="n">
        <v>45670</v>
      </c>
      <c r="HD2" s="6" t="n">
        <v>1</v>
      </c>
      <c r="HE2" s="6" t="n">
        <v>859.96</v>
      </c>
      <c r="HF2" s="11" t="n">
        <v>45670</v>
      </c>
      <c r="HG2" s="6" t="n">
        <v>1</v>
      </c>
      <c r="HH2" s="6" t="n">
        <v>799.74</v>
      </c>
      <c r="HI2" s="11" t="n">
        <v>45471</v>
      </c>
      <c r="HJ2" s="6" t="n">
        <v>1</v>
      </c>
      <c r="HK2" s="6" t="n">
        <v>893.98</v>
      </c>
      <c r="HL2" s="11" t="n">
        <v>45670</v>
      </c>
      <c r="HM2" s="6" t="n">
        <v>1</v>
      </c>
      <c r="HN2" s="6" t="n">
        <v>708.87</v>
      </c>
      <c r="HO2" s="11" t="n">
        <v>45813</v>
      </c>
      <c r="HP2" s="6" t="n">
        <v>2</v>
      </c>
      <c r="HQ2" s="6" t="n">
        <v>1097.28</v>
      </c>
      <c r="HR2" s="11" t="n">
        <v>45776</v>
      </c>
      <c r="HS2" s="6" t="n">
        <v>1</v>
      </c>
      <c r="HT2" s="6" t="n">
        <v>1032.56</v>
      </c>
      <c r="HU2" s="11" t="n">
        <v>45729</v>
      </c>
      <c r="HV2" s="6" t="n">
        <v>1</v>
      </c>
      <c r="HW2" s="6" t="n">
        <v>1102.66</v>
      </c>
      <c r="HX2" s="11" t="n">
        <v>44903</v>
      </c>
      <c r="HY2" s="6" t="n">
        <v>1</v>
      </c>
      <c r="HZ2" s="6" t="n">
        <v>1068.61</v>
      </c>
      <c r="IA2" s="11" t="n">
        <v>46055</v>
      </c>
      <c r="IB2" s="6" t="n">
        <v>1</v>
      </c>
      <c r="IC2" s="6" t="n">
        <v>1060.38</v>
      </c>
      <c r="ID2" s="11" t="n">
        <v>45776</v>
      </c>
      <c r="IE2" s="6" t="n">
        <v>1</v>
      </c>
      <c r="IF2" s="6" t="n">
        <v>1045.7</v>
      </c>
      <c r="IG2" s="11" t="n">
        <v>46055</v>
      </c>
      <c r="IH2" s="6" t="n">
        <v>1</v>
      </c>
      <c r="II2" s="6" t="n">
        <v>986.75</v>
      </c>
      <c r="IJ2" s="11" t="n">
        <v>45776</v>
      </c>
      <c r="IK2" s="6" t="n">
        <v>1</v>
      </c>
      <c r="IL2" s="6" t="n">
        <v>1022.21</v>
      </c>
      <c r="IM2" s="11" t="n">
        <v>46055</v>
      </c>
      <c r="IN2" s="6" t="n">
        <v>1</v>
      </c>
      <c r="IO2" s="6" t="n">
        <v>988.66</v>
      </c>
      <c r="IP2" s="11" t="n">
        <v>45751</v>
      </c>
      <c r="IQ2" s="6" t="n">
        <v>1</v>
      </c>
      <c r="IR2" s="6" t="n">
        <v>981.05</v>
      </c>
      <c r="IS2" s="11" t="n">
        <v>44866</v>
      </c>
      <c r="IT2" s="6" t="n">
        <v>1</v>
      </c>
      <c r="IU2" s="6" t="n">
        <v>1028.46</v>
      </c>
      <c r="IV2" s="11" t="n">
        <v>46055</v>
      </c>
      <c r="IW2" s="6" t="n">
        <v>1</v>
      </c>
      <c r="IX2" s="6" t="n">
        <v>1021.7</v>
      </c>
      <c r="IY2" s="11" t="n">
        <v>45541</v>
      </c>
      <c r="IZ2" s="6" t="n">
        <v>1</v>
      </c>
      <c r="JA2" s="6" t="n">
        <v>842.03</v>
      </c>
      <c r="JB2" s="11" t="n">
        <v>45729</v>
      </c>
      <c r="JC2" s="6" t="n">
        <v>1</v>
      </c>
      <c r="JD2" s="6" t="n">
        <v>894.46</v>
      </c>
      <c r="JE2" s="11" t="n">
        <v>45147</v>
      </c>
      <c r="JF2" s="6" t="n">
        <v>1</v>
      </c>
      <c r="JG2" s="6" t="n">
        <v>1013.35</v>
      </c>
      <c r="JH2" s="11" t="n">
        <v>44862</v>
      </c>
      <c r="JI2" s="6" t="n">
        <v>1</v>
      </c>
      <c r="JJ2" s="6" t="n">
        <v>957.61</v>
      </c>
      <c r="JK2" s="11" t="n">
        <v>45356</v>
      </c>
      <c r="JL2" s="6" t="n">
        <v>1</v>
      </c>
      <c r="JM2" s="6" t="n">
        <v>1022.03</v>
      </c>
      <c r="JN2" s="11" t="n">
        <v>45541</v>
      </c>
      <c r="JO2" s="6" t="n">
        <v>1</v>
      </c>
      <c r="JP2" s="6" t="n">
        <v>912.58</v>
      </c>
      <c r="JQ2" s="11" t="n">
        <v>45729</v>
      </c>
      <c r="JR2" s="6" t="n">
        <v>1</v>
      </c>
      <c r="JS2" s="6" t="n">
        <v>916.86</v>
      </c>
      <c r="JT2" s="11" t="n">
        <v>45082</v>
      </c>
      <c r="JU2" s="6" t="n">
        <v>1</v>
      </c>
      <c r="JV2" s="6" t="n">
        <v>988.22</v>
      </c>
      <c r="JW2" s="11" t="n">
        <v>44929</v>
      </c>
      <c r="JX2" s="6" t="n">
        <v>1</v>
      </c>
      <c r="JY2" s="6" t="n">
        <v>1028.37</v>
      </c>
      <c r="JZ2" s="11" t="n">
        <v>45219</v>
      </c>
      <c r="KA2" s="6" t="n">
        <v>1</v>
      </c>
      <c r="KB2" s="6" t="n">
        <v>995.2</v>
      </c>
      <c r="KC2" s="11" t="n">
        <v>45267</v>
      </c>
      <c r="KD2" s="6" t="n">
        <v>2</v>
      </c>
      <c r="KE2" s="6" t="n">
        <v>1813.07</v>
      </c>
      <c r="KF2" s="11" t="n">
        <v>45541</v>
      </c>
      <c r="KG2" s="6" t="n">
        <v>1</v>
      </c>
      <c r="KH2" s="6" t="n">
        <v>798.02</v>
      </c>
      <c r="KI2" s="11" t="n">
        <v>45729</v>
      </c>
      <c r="KJ2" s="6" t="n">
        <v>1</v>
      </c>
      <c r="KK2" s="6" t="n">
        <v>861.06</v>
      </c>
      <c r="KL2" s="11" t="n">
        <v>45541</v>
      </c>
      <c r="KM2" s="6" t="n">
        <v>1</v>
      </c>
      <c r="KN2" s="6" t="n">
        <v>823.95</v>
      </c>
      <c r="KO2" s="11" t="n">
        <v>45541</v>
      </c>
      <c r="KP2" s="6" t="n">
        <v>1</v>
      </c>
      <c r="KQ2" s="6" t="n">
        <v>860.66</v>
      </c>
      <c r="KR2" s="11" t="n">
        <v>44867</v>
      </c>
      <c r="KS2" s="6" t="n">
        <v>1</v>
      </c>
      <c r="KT2" s="6" t="n">
        <v>1069.62</v>
      </c>
      <c r="KU2" s="11" t="n">
        <v>45776</v>
      </c>
      <c r="KV2" s="6" t="n">
        <v>1</v>
      </c>
      <c r="KW2" s="6" t="n">
        <v>831.81</v>
      </c>
      <c r="KX2" s="11" t="n">
        <v>45751</v>
      </c>
      <c r="KY2" s="6" t="n">
        <v>1</v>
      </c>
      <c r="KZ2" s="6" t="n">
        <v>957.5</v>
      </c>
      <c r="LA2" s="11" t="n">
        <v>45541</v>
      </c>
      <c r="LB2" s="6" t="n">
        <v>1</v>
      </c>
      <c r="LC2" s="6" t="n">
        <v>737.17</v>
      </c>
      <c r="LD2" s="11" t="n">
        <v>45541</v>
      </c>
      <c r="LE2" s="6" t="n">
        <v>1</v>
      </c>
      <c r="LF2" s="6" t="n">
        <v>878.93</v>
      </c>
      <c r="LG2" s="11" t="n">
        <v>45670</v>
      </c>
      <c r="LH2" s="6" t="n">
        <v>1</v>
      </c>
      <c r="LI2" s="6" t="n">
        <v>944.09</v>
      </c>
      <c r="LJ2" s="11" t="n">
        <v>44860</v>
      </c>
      <c r="LK2" s="6" t="n">
        <v>1</v>
      </c>
      <c r="LL2" s="6" t="n">
        <v>913.22</v>
      </c>
      <c r="LM2" s="11" t="n">
        <v>45026</v>
      </c>
      <c r="LN2" s="6" t="n">
        <v>1</v>
      </c>
      <c r="LO2" s="6" t="n">
        <v>566.27</v>
      </c>
      <c r="LP2" s="11" t="n">
        <v>45267</v>
      </c>
      <c r="LQ2" s="6" t="n">
        <v>1</v>
      </c>
      <c r="LR2" s="6" t="n">
        <v>995.68</v>
      </c>
    </row>
    <row collapsed="false" customFormat="false" customHeight="false" hidden="false" ht="12.1" outlineLevel="0" r="3">
      <c r="A3" s="11" t="n">
        <v>44950</v>
      </c>
      <c r="B3" s="6" t="n">
        <v>10</v>
      </c>
      <c r="C3" s="6" t="n">
        <v>1547.53</v>
      </c>
      <c r="D3" s="11" t="n">
        <v>45901</v>
      </c>
      <c r="E3" s="6" t="n">
        <v>1</v>
      </c>
      <c r="F3" s="6" t="n">
        <v>4297.22</v>
      </c>
      <c r="G3" s="0"/>
      <c r="H3" s="5" t="s">
        <f>=SUM(I2:I2)/SUM(H2:H2)</f>
      </c>
      <c r="I3" s="0" t="s">
        <v>11</v>
      </c>
      <c r="J3" s="11" t="n">
        <v>45751</v>
      </c>
      <c r="K3" s="6" t="n">
        <v>3</v>
      </c>
      <c r="L3" s="6" t="n">
        <v>9666.11</v>
      </c>
      <c r="M3" s="11" t="n">
        <v>44984</v>
      </c>
      <c r="N3" s="6" t="n">
        <v>10</v>
      </c>
      <c r="O3" s="6" t="n">
        <v>1678.82</v>
      </c>
      <c r="P3" s="11" t="n">
        <v>45418</v>
      </c>
      <c r="Q3" s="6" t="n">
        <v>10</v>
      </c>
      <c r="R3" s="6" t="n">
        <v>1559.06</v>
      </c>
      <c r="S3" s="11" t="n">
        <v>45506</v>
      </c>
      <c r="T3" s="6" t="n">
        <v>10</v>
      </c>
      <c r="U3" s="6" t="n">
        <v>2293.66</v>
      </c>
      <c r="V3" s="11" t="n">
        <v>45597</v>
      </c>
      <c r="W3" s="6" t="n">
        <v>1</v>
      </c>
      <c r="X3" s="6" t="n">
        <v>540.52</v>
      </c>
      <c r="Y3" s="11" t="n">
        <v>44984</v>
      </c>
      <c r="Z3" s="6" t="n">
        <v>100</v>
      </c>
      <c r="AA3" s="6" t="n">
        <v>342.17</v>
      </c>
      <c r="AB3" s="11" t="n">
        <v>45597</v>
      </c>
      <c r="AC3" s="6" t="n">
        <v>10</v>
      </c>
      <c r="AD3" s="6" t="n">
        <v>1836.99</v>
      </c>
      <c r="AE3" s="11" t="n">
        <v>45324</v>
      </c>
      <c r="AF3" s="6" t="n">
        <v>1</v>
      </c>
      <c r="AG3" s="6" t="n">
        <v>728.28</v>
      </c>
      <c r="AH3" s="11" t="n">
        <v>44984</v>
      </c>
      <c r="AI3" s="6" t="n">
        <v>2</v>
      </c>
      <c r="AJ3" s="6" t="n">
        <v>164.74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45104</v>
      </c>
      <c r="AR3" s="6" t="n">
        <v>10</v>
      </c>
      <c r="AS3" s="6" t="n">
        <v>420.06</v>
      </c>
      <c r="AT3" s="11" t="n">
        <v>45104</v>
      </c>
      <c r="AU3" s="6" t="n">
        <v>10</v>
      </c>
      <c r="AV3" s="6" t="n">
        <v>728.18</v>
      </c>
      <c r="AW3" s="11" t="n">
        <v>45541</v>
      </c>
      <c r="AX3" s="6" t="n">
        <v>10</v>
      </c>
      <c r="AY3" s="6" t="n">
        <v>1056.56</v>
      </c>
      <c r="AZ3" s="11" t="n">
        <v>45541</v>
      </c>
      <c r="BA3" s="6" t="n">
        <v>100</v>
      </c>
      <c r="BB3" s="6" t="n">
        <v>1612.72</v>
      </c>
      <c r="BC3" s="11" t="n">
        <v>45198</v>
      </c>
      <c r="BD3" s="6" t="n">
        <v>100</v>
      </c>
      <c r="BE3" s="6" t="n">
        <v>718.25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11" t="n">
        <v>44746</v>
      </c>
      <c r="BP3" s="6" t="n">
        <v>10</v>
      </c>
      <c r="BQ3" s="6" t="n">
        <v>321.31</v>
      </c>
      <c r="BR3" s="11" t="n">
        <v>45541</v>
      </c>
      <c r="BS3" s="6" t="n">
        <v>10</v>
      </c>
      <c r="BT3" s="6" t="n">
        <v>302.1</v>
      </c>
      <c r="BU3" s="0"/>
      <c r="BV3" s="5" t="s">
        <f>=SUM(BW2:BW2)/SUM(BV2:BV2)</f>
      </c>
      <c r="BW3" s="0" t="s">
        <v>11</v>
      </c>
      <c r="BX3" s="11" t="n">
        <v>44776</v>
      </c>
      <c r="BY3" s="6" t="n">
        <v>1</v>
      </c>
      <c r="BZ3" s="6" t="n">
        <v>742.71</v>
      </c>
      <c r="CA3" s="11" t="n">
        <v>44746</v>
      </c>
      <c r="CB3" s="6" t="n">
        <v>1</v>
      </c>
      <c r="CC3" s="6" t="n">
        <v>1111.02</v>
      </c>
      <c r="CD3" s="11" t="n">
        <v>45266</v>
      </c>
      <c r="CE3" s="6" t="n">
        <v>2</v>
      </c>
      <c r="CF3" s="6" t="n">
        <v>1742.59</v>
      </c>
      <c r="CG3" s="11" t="n">
        <v>44950</v>
      </c>
      <c r="CH3" s="6" t="n">
        <v>1</v>
      </c>
      <c r="CI3" s="6" t="n">
        <v>761.14</v>
      </c>
      <c r="CJ3" s="11" t="n">
        <v>45702</v>
      </c>
      <c r="CK3" s="6" t="n">
        <v>1</v>
      </c>
      <c r="CL3" s="6" t="n">
        <v>886.67</v>
      </c>
      <c r="CM3" s="11" t="n">
        <v>45630</v>
      </c>
      <c r="CN3" s="6" t="n">
        <v>1</v>
      </c>
      <c r="CO3" s="6" t="n">
        <v>856.46</v>
      </c>
      <c r="CP3" s="11" t="n">
        <v>44825</v>
      </c>
      <c r="CQ3" s="6" t="n">
        <v>1</v>
      </c>
      <c r="CR3" s="6" t="n">
        <v>790.02</v>
      </c>
      <c r="CS3" s="11" t="n">
        <v>44950</v>
      </c>
      <c r="CT3" s="6" t="n">
        <v>1</v>
      </c>
      <c r="CU3" s="6" t="n">
        <v>837.75</v>
      </c>
      <c r="CV3" s="11" t="n">
        <v>44881</v>
      </c>
      <c r="CW3" s="6" t="n">
        <v>1</v>
      </c>
      <c r="CX3" s="6" t="n">
        <v>1057.94</v>
      </c>
      <c r="CY3" s="11" t="n">
        <v>44950</v>
      </c>
      <c r="CZ3" s="6" t="n">
        <v>1</v>
      </c>
      <c r="DA3" s="6" t="n">
        <v>805.19</v>
      </c>
      <c r="DB3" s="11" t="n">
        <v>45623</v>
      </c>
      <c r="DC3" s="6" t="n">
        <v>1</v>
      </c>
      <c r="DD3" s="6" t="n">
        <v>864.43</v>
      </c>
      <c r="DE3" s="11" t="n">
        <v>45351</v>
      </c>
      <c r="DF3" s="6" t="n">
        <v>1</v>
      </c>
      <c r="DG3" s="6" t="n">
        <v>888.26</v>
      </c>
      <c r="DH3" s="11" t="n">
        <v>45714</v>
      </c>
      <c r="DI3" s="6" t="n">
        <v>1</v>
      </c>
      <c r="DJ3" s="6" t="n">
        <v>855.98</v>
      </c>
      <c r="DK3" s="11" t="n">
        <v>45061</v>
      </c>
      <c r="DL3" s="6" t="n">
        <v>1</v>
      </c>
      <c r="DM3" s="6" t="n">
        <v>897.96</v>
      </c>
      <c r="DN3" s="11" t="n">
        <v>45021</v>
      </c>
      <c r="DO3" s="6" t="n">
        <v>1</v>
      </c>
      <c r="DP3" s="6" t="n">
        <v>805.83</v>
      </c>
      <c r="DQ3" s="11" t="n">
        <v>45351</v>
      </c>
      <c r="DR3" s="6" t="n">
        <v>1</v>
      </c>
      <c r="DS3" s="6" t="n">
        <v>983.28</v>
      </c>
      <c r="DT3" s="11" t="n">
        <v>45356</v>
      </c>
      <c r="DU3" s="6" t="n">
        <v>1</v>
      </c>
      <c r="DV3" s="6" t="n">
        <v>860.33</v>
      </c>
      <c r="DW3" s="11" t="n">
        <v>44868</v>
      </c>
      <c r="DX3" s="6" t="n">
        <v>1</v>
      </c>
      <c r="DY3" s="6" t="n">
        <v>856.43</v>
      </c>
      <c r="DZ3" s="11" t="n">
        <v>45026</v>
      </c>
      <c r="EA3" s="6" t="n">
        <v>1</v>
      </c>
      <c r="EB3" s="6" t="n">
        <v>1027.73</v>
      </c>
      <c r="EC3" s="11" t="n">
        <v>44950</v>
      </c>
      <c r="ED3" s="6" t="n">
        <v>1</v>
      </c>
      <c r="EE3" s="6" t="n">
        <v>1081.49</v>
      </c>
      <c r="EF3" s="11" t="n">
        <v>45931</v>
      </c>
      <c r="EG3" s="6" t="n">
        <v>1</v>
      </c>
      <c r="EH3" s="6" t="n">
        <v>890.54</v>
      </c>
      <c r="EI3" s="11" t="n">
        <v>45959</v>
      </c>
      <c r="EJ3" s="6" t="n">
        <v>1</v>
      </c>
      <c r="EK3" s="6" t="n">
        <v>885.1</v>
      </c>
      <c r="EL3" s="11" t="n">
        <v>45670</v>
      </c>
      <c r="EM3" s="6" t="n">
        <v>1</v>
      </c>
      <c r="EN3" s="6" t="n">
        <v>830.27</v>
      </c>
      <c r="EO3" s="11" t="n">
        <v>45504</v>
      </c>
      <c r="EP3" s="6" t="n">
        <v>1</v>
      </c>
      <c r="EQ3" s="6" t="n">
        <v>646.87</v>
      </c>
      <c r="ER3" s="11" t="n">
        <v>45014</v>
      </c>
      <c r="ES3" s="6" t="n">
        <v>1</v>
      </c>
      <c r="ET3" s="6" t="n">
        <v>1141.72</v>
      </c>
      <c r="EU3" s="11" t="n">
        <v>45670</v>
      </c>
      <c r="EV3" s="6" t="n">
        <v>1</v>
      </c>
      <c r="EW3" s="6" t="n">
        <v>885.54</v>
      </c>
      <c r="EX3" s="11" t="n">
        <v>45447</v>
      </c>
      <c r="EY3" s="6" t="n">
        <v>1</v>
      </c>
      <c r="EZ3" s="6" t="n">
        <v>822.25</v>
      </c>
      <c r="FA3" s="0"/>
      <c r="FB3" s="5" t="s">
        <f>=SUM(FC2:FC2)/SUM(FB2:FB2)</f>
      </c>
      <c r="FC3" s="0" t="s">
        <v>11</v>
      </c>
      <c r="FD3" s="11" t="n">
        <v>46027</v>
      </c>
      <c r="FE3" s="6" t="n">
        <v>1</v>
      </c>
      <c r="FF3" s="6" t="n">
        <v>941.71</v>
      </c>
      <c r="FG3" s="11" t="n">
        <v>45622</v>
      </c>
      <c r="FH3" s="6" t="n">
        <v>1</v>
      </c>
      <c r="FI3" s="6" t="n">
        <v>809</v>
      </c>
      <c r="FJ3" s="11" t="n">
        <v>45670</v>
      </c>
      <c r="FK3" s="6" t="n">
        <v>1</v>
      </c>
      <c r="FL3" s="6" t="n">
        <v>869.91</v>
      </c>
      <c r="FM3" s="11" t="n">
        <v>45813</v>
      </c>
      <c r="FN3" s="6" t="n">
        <v>1</v>
      </c>
      <c r="FO3" s="6" t="n">
        <v>1086.88</v>
      </c>
      <c r="FP3" s="11" t="n">
        <v>46055</v>
      </c>
      <c r="FQ3" s="6" t="n">
        <v>1</v>
      </c>
      <c r="FR3" s="6" t="n">
        <v>1025.51</v>
      </c>
      <c r="FS3" s="11" t="n">
        <v>46055</v>
      </c>
      <c r="FT3" s="6" t="n">
        <v>1</v>
      </c>
      <c r="FU3" s="6" t="n">
        <v>1028.98</v>
      </c>
      <c r="FV3" s="11" t="n">
        <v>46055</v>
      </c>
      <c r="FW3" s="6" t="n">
        <v>1</v>
      </c>
      <c r="FX3" s="6" t="n">
        <v>1052.91</v>
      </c>
      <c r="FY3" s="11" t="n">
        <v>46055</v>
      </c>
      <c r="FZ3" s="6" t="n">
        <v>1</v>
      </c>
      <c r="GA3" s="6" t="n">
        <v>1038.56</v>
      </c>
      <c r="GB3" s="11" t="n">
        <v>46055</v>
      </c>
      <c r="GC3" s="6" t="n">
        <v>1</v>
      </c>
      <c r="GD3" s="6" t="n">
        <v>1013.41</v>
      </c>
      <c r="GE3" s="11" t="n">
        <v>45446</v>
      </c>
      <c r="GF3" s="6" t="n">
        <v>1</v>
      </c>
      <c r="GG3" s="6" t="n">
        <v>825.99</v>
      </c>
      <c r="GH3" s="0"/>
      <c r="GI3" s="5" t="s">
        <f>=SUM(GJ2:GJ2)/SUM(GI2:GI2)</f>
      </c>
      <c r="GJ3" s="0" t="s">
        <v>11</v>
      </c>
      <c r="GK3" s="11" t="n">
        <v>45471</v>
      </c>
      <c r="GL3" s="6" t="n">
        <v>1</v>
      </c>
      <c r="GM3" s="6" t="n">
        <v>1016.68</v>
      </c>
      <c r="GN3" s="11" t="n">
        <v>46027</v>
      </c>
      <c r="GO3" s="6" t="n">
        <v>1</v>
      </c>
      <c r="GP3" s="6" t="n">
        <v>962.57</v>
      </c>
      <c r="GQ3" s="11" t="n">
        <v>46027</v>
      </c>
      <c r="GR3" s="6" t="n">
        <v>1</v>
      </c>
      <c r="GS3" s="6" t="n">
        <v>965.37</v>
      </c>
      <c r="GT3" s="11" t="n">
        <v>45265</v>
      </c>
      <c r="GU3" s="6" t="n">
        <v>1</v>
      </c>
      <c r="GV3" s="6" t="n">
        <v>885.97</v>
      </c>
      <c r="GW3" s="11" t="n">
        <v>45677</v>
      </c>
      <c r="GX3" s="6" t="n">
        <v>1</v>
      </c>
      <c r="GY3" s="6" t="n">
        <v>821.33</v>
      </c>
      <c r="GZ3" s="11" t="n">
        <v>45762</v>
      </c>
      <c r="HA3" s="6" t="n">
        <v>1</v>
      </c>
      <c r="HB3" s="6" t="n">
        <v>784.54</v>
      </c>
      <c r="HC3" s="11" t="n">
        <v>45670</v>
      </c>
      <c r="HD3" s="6" t="n">
        <v>1</v>
      </c>
      <c r="HE3" s="6" t="n">
        <v>860.66</v>
      </c>
      <c r="HF3" s="11" t="n">
        <v>45670</v>
      </c>
      <c r="HG3" s="6" t="n">
        <v>1</v>
      </c>
      <c r="HH3" s="6" t="n">
        <v>799.64</v>
      </c>
      <c r="HI3" s="11" t="n">
        <v>45503</v>
      </c>
      <c r="HJ3" s="6" t="n">
        <v>1</v>
      </c>
      <c r="HK3" s="6" t="n">
        <v>860.88</v>
      </c>
      <c r="HL3" s="11" t="n">
        <v>45670</v>
      </c>
      <c r="HM3" s="6" t="n">
        <v>1</v>
      </c>
      <c r="HN3" s="6" t="n">
        <v>708.97</v>
      </c>
      <c r="HO3" s="0"/>
      <c r="HP3" s="5" t="s">
        <f>=SUM(HQ2:HQ2)/SUM(HP2:HP2)</f>
      </c>
      <c r="HQ3" s="0" t="s">
        <v>11</v>
      </c>
      <c r="HR3" s="0"/>
      <c r="HS3" s="5" t="s">
        <f>=SUM(HT2:HT2)/SUM(HS2:HS2)</f>
      </c>
      <c r="HT3" s="0" t="s">
        <v>11</v>
      </c>
      <c r="HU3" s="0"/>
      <c r="HV3" s="5" t="s">
        <f>=SUM(HW2:HW2)/SUM(HV2:HV2)</f>
      </c>
      <c r="HW3" s="0" t="s">
        <v>11</v>
      </c>
      <c r="HX3" s="0"/>
      <c r="HY3" s="5" t="s">
        <f>=SUM(HZ2:HZ2)/SUM(HY2:HY2)</f>
      </c>
      <c r="HZ3" s="0" t="s">
        <v>11</v>
      </c>
      <c r="IA3" s="0"/>
      <c r="IB3" s="5" t="s">
        <f>=SUM(IC2:IC2)/SUM(IB2:IB2)</f>
      </c>
      <c r="IC3" s="0" t="s">
        <v>11</v>
      </c>
      <c r="ID3" s="0"/>
      <c r="IE3" s="5" t="s">
        <f>=SUM(IF2:IF2)/SUM(IE2:IE2)</f>
      </c>
      <c r="IF3" s="0" t="s">
        <v>11</v>
      </c>
      <c r="IG3" s="0"/>
      <c r="IH3" s="5" t="s">
        <f>=SUM(II2:II2)/SUM(IH2:IH2)</f>
      </c>
      <c r="II3" s="0" t="s">
        <v>11</v>
      </c>
      <c r="IJ3" s="0"/>
      <c r="IK3" s="5" t="s">
        <f>=SUM(IL2:IL2)/SUM(IK2:IK2)</f>
      </c>
      <c r="IL3" s="0" t="s">
        <v>11</v>
      </c>
      <c r="IM3" s="0"/>
      <c r="IN3" s="5" t="s">
        <f>=SUM(IO2:IO2)/SUM(IN2:IN2)</f>
      </c>
      <c r="IO3" s="0" t="s">
        <v>11</v>
      </c>
      <c r="IP3" s="0"/>
      <c r="IQ3" s="5" t="s">
        <f>=SUM(IR2:IR2)/SUM(IQ2:IQ2)</f>
      </c>
      <c r="IR3" s="0" t="s">
        <v>11</v>
      </c>
      <c r="IS3" s="0"/>
      <c r="IT3" s="5" t="s">
        <f>=SUM(IU2:IU2)/SUM(IT2:IT2)</f>
      </c>
      <c r="IU3" s="0" t="s">
        <v>11</v>
      </c>
      <c r="IV3" s="0"/>
      <c r="IW3" s="5" t="s">
        <f>=SUM(IX2:IX2)/SUM(IW2:IW2)</f>
      </c>
      <c r="IX3" s="0" t="s">
        <v>11</v>
      </c>
      <c r="IY3" s="0"/>
      <c r="IZ3" s="5" t="s">
        <f>=SUM(JA2:JA2)/SUM(IZ2:IZ2)</f>
      </c>
      <c r="JA3" s="0" t="s">
        <v>11</v>
      </c>
      <c r="JB3" s="0"/>
      <c r="JC3" s="5" t="s">
        <f>=SUM(JD2:JD2)/SUM(JC2:JC2)</f>
      </c>
      <c r="JD3" s="0" t="s">
        <v>11</v>
      </c>
      <c r="JE3" s="0"/>
      <c r="JF3" s="5" t="s">
        <f>=SUM(JG2:JG2)/SUM(JF2:JF2)</f>
      </c>
      <c r="JG3" s="0" t="s">
        <v>11</v>
      </c>
      <c r="JH3" s="0"/>
      <c r="JI3" s="5" t="s">
        <f>=SUM(JJ2:JJ2)/SUM(JI2:JI2)</f>
      </c>
      <c r="JJ3" s="0" t="s">
        <v>11</v>
      </c>
      <c r="JK3" s="0"/>
      <c r="JL3" s="5" t="s">
        <f>=SUM(JM2:JM2)/SUM(JL2:JL2)</f>
      </c>
      <c r="JM3" s="0" t="s">
        <v>11</v>
      </c>
      <c r="JN3" s="0"/>
      <c r="JO3" s="5" t="s">
        <f>=SUM(JP2:JP2)/SUM(JO2:JO2)</f>
      </c>
      <c r="JP3" s="0" t="s">
        <v>11</v>
      </c>
      <c r="JQ3" s="0"/>
      <c r="JR3" s="5" t="s">
        <f>=SUM(JS2:JS2)/SUM(JR2:JR2)</f>
      </c>
      <c r="JS3" s="0" t="s">
        <v>11</v>
      </c>
      <c r="JT3" s="0"/>
      <c r="JU3" s="5" t="s">
        <f>=SUM(JV2:JV2)/SUM(JU2:JU2)</f>
      </c>
      <c r="JV3" s="0" t="s">
        <v>11</v>
      </c>
      <c r="JW3" s="0"/>
      <c r="JX3" s="5" t="s">
        <f>=SUM(JY2:JY2)/SUM(JX2:JX2)</f>
      </c>
      <c r="JY3" s="0" t="s">
        <v>11</v>
      </c>
      <c r="JZ3" s="0"/>
      <c r="KA3" s="5" t="s">
        <f>=SUM(KB2:KB2)/SUM(KA2:KA2)</f>
      </c>
      <c r="KB3" s="0" t="s">
        <v>11</v>
      </c>
      <c r="KC3" s="0"/>
      <c r="KD3" s="5" t="s">
        <f>=SUM(KE2:KE2)/SUM(KD2:KD2)</f>
      </c>
      <c r="KE3" s="0" t="s">
        <v>11</v>
      </c>
      <c r="KF3" s="0"/>
      <c r="KG3" s="5" t="s">
        <f>=SUM(KH2:KH2)/SUM(KG2:KG2)</f>
      </c>
      <c r="KH3" s="0" t="s">
        <v>11</v>
      </c>
      <c r="KI3" s="0"/>
      <c r="KJ3" s="5" t="s">
        <f>=SUM(KK2:KK2)/SUM(KJ2:KJ2)</f>
      </c>
      <c r="KK3" s="0" t="s">
        <v>11</v>
      </c>
      <c r="KL3" s="0"/>
      <c r="KM3" s="5" t="s">
        <f>=SUM(KN2:KN2)/SUM(KM2:KM2)</f>
      </c>
      <c r="KN3" s="0" t="s">
        <v>11</v>
      </c>
      <c r="KO3" s="0"/>
      <c r="KP3" s="5" t="s">
        <f>=SUM(KQ2:KQ2)/SUM(KP2:KP2)</f>
      </c>
      <c r="KQ3" s="0" t="s">
        <v>11</v>
      </c>
      <c r="KR3" s="0"/>
      <c r="KS3" s="5" t="s">
        <f>=SUM(KT2:KT2)/SUM(KS2:KS2)</f>
      </c>
      <c r="KT3" s="0" t="s">
        <v>11</v>
      </c>
      <c r="KU3" s="0"/>
      <c r="KV3" s="5" t="s">
        <f>=SUM(KW2:KW2)/SUM(KV2:KV2)</f>
      </c>
      <c r="KW3" s="0" t="s">
        <v>11</v>
      </c>
      <c r="KX3" s="0"/>
      <c r="KY3" s="5" t="s">
        <f>=SUM(KZ2:KZ2)/SUM(KY2:KY2)</f>
      </c>
      <c r="KZ3" s="0" t="s">
        <v>11</v>
      </c>
      <c r="LA3" s="0"/>
      <c r="LB3" s="5" t="s">
        <f>=SUM(LC2:LC2)/SUM(LB2:LB2)</f>
      </c>
      <c r="LC3" s="0" t="s">
        <v>11</v>
      </c>
      <c r="LD3" s="0"/>
      <c r="LE3" s="5" t="s">
        <f>=SUM(LF2:LF2)/SUM(LE2:LE2)</f>
      </c>
      <c r="LF3" s="0" t="s">
        <v>11</v>
      </c>
      <c r="LG3" s="0"/>
      <c r="LH3" s="5" t="s">
        <f>=SUM(LI2:LI2)/SUM(LH2:LH2)</f>
      </c>
      <c r="LI3" s="0" t="s">
        <v>11</v>
      </c>
      <c r="LJ3" s="0"/>
      <c r="LK3" s="5" t="s">
        <f>=SUM(LL2:LL2)/SUM(LK2:LK2)</f>
      </c>
      <c r="LL3" s="0" t="s">
        <v>11</v>
      </c>
      <c r="LM3" s="0"/>
      <c r="LN3" s="5" t="s">
        <f>=SUM(LO2:LO2)/SUM(LN2:LN2)</f>
      </c>
      <c r="LO3" s="0" t="s">
        <v>11</v>
      </c>
      <c r="LP3" s="0"/>
      <c r="LQ3" s="5" t="s">
        <f>=SUM(LR2:LR2)/SUM(LQ2:LQ2)</f>
      </c>
      <c r="LR3" s="0" t="s">
        <v>11</v>
      </c>
    </row>
    <row collapsed="false" customFormat="false" customHeight="false" hidden="false" ht="12.1" outlineLevel="0" r="4">
      <c r="A4" s="11" t="n">
        <v>44984</v>
      </c>
      <c r="B4" s="6" t="n">
        <v>10</v>
      </c>
      <c r="C4" s="6" t="n">
        <v>1698.68</v>
      </c>
      <c r="D4" s="11" t="n">
        <v>45988</v>
      </c>
      <c r="E4" s="6" t="n">
        <v>4</v>
      </c>
      <c r="F4" s="6" t="n">
        <v>16677.88</v>
      </c>
      <c r="G4" s="0"/>
      <c r="H4" s="6" t="n">
        <v>2499.6</v>
      </c>
      <c r="I4" s="0" t="s">
        <v>1049</v>
      </c>
      <c r="J4" s="11" t="n">
        <v>45751</v>
      </c>
      <c r="K4" s="6" t="n">
        <v>1</v>
      </c>
      <c r="L4" s="6" t="n">
        <v>3225.65</v>
      </c>
      <c r="M4" s="11" t="n">
        <v>45418</v>
      </c>
      <c r="N4" s="6" t="n">
        <v>10</v>
      </c>
      <c r="O4" s="6" t="n">
        <v>3078.31</v>
      </c>
      <c r="P4" s="11" t="n">
        <v>45418</v>
      </c>
      <c r="Q4" s="6" t="n">
        <v>10</v>
      </c>
      <c r="R4" s="6" t="n">
        <v>1558.76</v>
      </c>
      <c r="S4" s="11" t="n">
        <v>45729</v>
      </c>
      <c r="T4" s="6" t="n">
        <v>10</v>
      </c>
      <c r="U4" s="6" t="n">
        <v>2098.78</v>
      </c>
      <c r="V4" s="11" t="n">
        <v>45639</v>
      </c>
      <c r="W4" s="6" t="n">
        <v>6</v>
      </c>
      <c r="X4" s="6" t="n">
        <v>3377.9</v>
      </c>
      <c r="Y4" s="11" t="n">
        <v>45026</v>
      </c>
      <c r="Z4" s="6" t="n">
        <v>200</v>
      </c>
      <c r="AA4" s="6" t="n">
        <v>770.2</v>
      </c>
      <c r="AB4" s="0"/>
      <c r="AC4" s="5" t="s">
        <f>=SUM(AD2:AD3)/SUM(AC2:AC3)</f>
      </c>
      <c r="AD4" s="0" t="s">
        <v>11</v>
      </c>
      <c r="AE4" s="11" t="n">
        <v>45356</v>
      </c>
      <c r="AF4" s="6" t="n">
        <v>2</v>
      </c>
      <c r="AG4" s="6" t="n">
        <v>1789.95</v>
      </c>
      <c r="AH4" s="11" t="n">
        <v>45026</v>
      </c>
      <c r="AI4" s="6" t="n">
        <v>6</v>
      </c>
      <c r="AJ4" s="6" t="n">
        <v>568.55</v>
      </c>
      <c r="AK4" s="0"/>
      <c r="AL4" s="6" t="n">
        <v>42.04</v>
      </c>
      <c r="AM4" s="0" t="s">
        <v>1049</v>
      </c>
      <c r="AN4" s="0"/>
      <c r="AO4" s="6" t="n">
        <v>340.06</v>
      </c>
      <c r="AP4" s="0" t="s">
        <v>1049</v>
      </c>
      <c r="AQ4" s="11" t="n">
        <v>45219</v>
      </c>
      <c r="AR4" s="6" t="n">
        <v>10</v>
      </c>
      <c r="AS4" s="6" t="n">
        <v>406.72</v>
      </c>
      <c r="AT4" s="11" t="n">
        <v>45324</v>
      </c>
      <c r="AU4" s="6" t="n">
        <v>10</v>
      </c>
      <c r="AV4" s="6" t="n">
        <v>765.49</v>
      </c>
      <c r="AW4" s="0"/>
      <c r="AX4" s="5" t="s">
        <f>=SUM(AY2:AY3)/SUM(AX2:AX3)</f>
      </c>
      <c r="AY4" s="0" t="s">
        <v>11</v>
      </c>
      <c r="AZ4" s="0"/>
      <c r="BA4" s="5" t="s">
        <f>=SUM(BB2:BB3)/SUM(BA2:BA3)</f>
      </c>
      <c r="BB4" s="0" t="s">
        <v>11</v>
      </c>
      <c r="BC4" s="11" t="n">
        <v>45324</v>
      </c>
      <c r="BD4" s="6" t="n">
        <v>100</v>
      </c>
      <c r="BE4" s="6" t="n">
        <v>783.04</v>
      </c>
      <c r="BF4" s="0"/>
      <c r="BG4" s="6" t="n">
        <v>21.65</v>
      </c>
      <c r="BH4" s="0" t="s">
        <v>1049</v>
      </c>
      <c r="BI4" s="0"/>
      <c r="BJ4" s="6" t="n">
        <v>1188.4</v>
      </c>
      <c r="BK4" s="0" t="s">
        <v>1049</v>
      </c>
      <c r="BL4" s="0"/>
      <c r="BM4" s="6" t="n">
        <v>109.96</v>
      </c>
      <c r="BN4" s="0" t="s">
        <v>1049</v>
      </c>
      <c r="BO4" s="11" t="n">
        <v>44776</v>
      </c>
      <c r="BP4" s="6" t="n">
        <v>10</v>
      </c>
      <c r="BQ4" s="6" t="n">
        <v>243.43</v>
      </c>
      <c r="BR4" s="0"/>
      <c r="BS4" s="5" t="s">
        <f>=SUM(BT2:BT3)/SUM(BS2:BS3)</f>
      </c>
      <c r="BT4" s="0" t="s">
        <v>11</v>
      </c>
      <c r="BU4" s="0"/>
      <c r="BV4" s="6" t="n">
        <v>39.6</v>
      </c>
      <c r="BW4" s="0" t="s">
        <v>1049</v>
      </c>
      <c r="BX4" s="11" t="n">
        <v>44868</v>
      </c>
      <c r="BY4" s="6" t="n">
        <v>1</v>
      </c>
      <c r="BZ4" s="6" t="n">
        <v>731.95</v>
      </c>
      <c r="CA4" s="11" t="n">
        <v>44916</v>
      </c>
      <c r="CB4" s="6" t="n">
        <v>1</v>
      </c>
      <c r="CC4" s="6" t="n">
        <v>1051.78</v>
      </c>
      <c r="CD4" s="11" t="n">
        <v>45303</v>
      </c>
      <c r="CE4" s="6" t="n">
        <v>1</v>
      </c>
      <c r="CF4" s="6" t="n">
        <v>855.56</v>
      </c>
      <c r="CG4" s="11" t="n">
        <v>45006</v>
      </c>
      <c r="CH4" s="6" t="n">
        <v>1</v>
      </c>
      <c r="CI4" s="6" t="n">
        <v>756.65</v>
      </c>
      <c r="CJ4" s="11" t="n">
        <v>45714</v>
      </c>
      <c r="CK4" s="6" t="n">
        <v>1</v>
      </c>
      <c r="CL4" s="6" t="n">
        <v>858.07</v>
      </c>
      <c r="CM4" s="11" t="n">
        <v>45702</v>
      </c>
      <c r="CN4" s="6" t="n">
        <v>1</v>
      </c>
      <c r="CO4" s="6" t="n">
        <v>857.05</v>
      </c>
      <c r="CP4" s="11" t="n">
        <v>44868</v>
      </c>
      <c r="CQ4" s="6" t="n">
        <v>1</v>
      </c>
      <c r="CR4" s="6" t="n">
        <v>779.81</v>
      </c>
      <c r="CS4" s="11" t="n">
        <v>45006</v>
      </c>
      <c r="CT4" s="6" t="n">
        <v>1</v>
      </c>
      <c r="CU4" s="6" t="n">
        <v>831.77</v>
      </c>
      <c r="CV4" s="11" t="n">
        <v>44903</v>
      </c>
      <c r="CW4" s="6" t="n">
        <v>1</v>
      </c>
      <c r="CX4" s="6" t="n">
        <v>1068.42</v>
      </c>
      <c r="CY4" s="11" t="n">
        <v>44972</v>
      </c>
      <c r="CZ4" s="6" t="n">
        <v>1</v>
      </c>
      <c r="DA4" s="6" t="n">
        <v>763.22</v>
      </c>
      <c r="DB4" s="11" t="n">
        <v>45702</v>
      </c>
      <c r="DC4" s="6" t="n">
        <v>1</v>
      </c>
      <c r="DD4" s="6" t="n">
        <v>829.06</v>
      </c>
      <c r="DE4" s="11" t="n">
        <v>45356</v>
      </c>
      <c r="DF4" s="6" t="n">
        <v>1</v>
      </c>
      <c r="DG4" s="6" t="n">
        <v>882.57</v>
      </c>
      <c r="DH4" s="11" t="n">
        <v>45714</v>
      </c>
      <c r="DI4" s="6" t="n">
        <v>1</v>
      </c>
      <c r="DJ4" s="6" t="n">
        <v>855.98</v>
      </c>
      <c r="DK4" s="11" t="n">
        <v>45217</v>
      </c>
      <c r="DL4" s="6" t="n">
        <v>1</v>
      </c>
      <c r="DM4" s="6" t="n">
        <v>843.84</v>
      </c>
      <c r="DN4" s="11" t="n">
        <v>45203</v>
      </c>
      <c r="DO4" s="6" t="n">
        <v>1</v>
      </c>
      <c r="DP4" s="6" t="n">
        <v>724.94</v>
      </c>
      <c r="DQ4" s="11" t="n">
        <v>45356</v>
      </c>
      <c r="DR4" s="6" t="n">
        <v>1</v>
      </c>
      <c r="DS4" s="6" t="n">
        <v>975.29</v>
      </c>
      <c r="DT4" s="11" t="n">
        <v>45378</v>
      </c>
      <c r="DU4" s="6" t="n">
        <v>1</v>
      </c>
      <c r="DV4" s="6" t="n">
        <v>750.19</v>
      </c>
      <c r="DW4" s="11" t="n">
        <v>44888</v>
      </c>
      <c r="DX4" s="6" t="n">
        <v>1</v>
      </c>
      <c r="DY4" s="6" t="n">
        <v>823.33</v>
      </c>
      <c r="DZ4" s="11" t="n">
        <v>45114</v>
      </c>
      <c r="EA4" s="6" t="n">
        <v>2</v>
      </c>
      <c r="EB4" s="6" t="n">
        <v>1988.71</v>
      </c>
      <c r="EC4" s="11" t="n">
        <v>45028</v>
      </c>
      <c r="ED4" s="6" t="n">
        <v>1</v>
      </c>
      <c r="EE4" s="6" t="n">
        <v>1075.09</v>
      </c>
      <c r="EF4" s="11" t="n">
        <v>45959</v>
      </c>
      <c r="EG4" s="6" t="n">
        <v>1</v>
      </c>
      <c r="EH4" s="6" t="n">
        <v>899.29</v>
      </c>
      <c r="EI4" s="11" t="n">
        <v>45959</v>
      </c>
      <c r="EJ4" s="6" t="n">
        <v>1</v>
      </c>
      <c r="EK4" s="6" t="n">
        <v>885.2</v>
      </c>
      <c r="EL4" s="11" t="n">
        <v>45670</v>
      </c>
      <c r="EM4" s="6" t="n">
        <v>1</v>
      </c>
      <c r="EN4" s="6" t="n">
        <v>829.97</v>
      </c>
      <c r="EO4" s="11" t="n">
        <v>45506</v>
      </c>
      <c r="EP4" s="6" t="n">
        <v>1</v>
      </c>
      <c r="EQ4" s="6" t="n">
        <v>633.72</v>
      </c>
      <c r="ER4" s="11" t="n">
        <v>45026</v>
      </c>
      <c r="ES4" s="6" t="n">
        <v>1</v>
      </c>
      <c r="ET4" s="6" t="n">
        <v>1142.12</v>
      </c>
      <c r="EU4" s="11" t="n">
        <v>45670</v>
      </c>
      <c r="EV4" s="6" t="n">
        <v>1</v>
      </c>
      <c r="EW4" s="6" t="n">
        <v>885.54</v>
      </c>
      <c r="EX4" s="11" t="n">
        <v>45447</v>
      </c>
      <c r="EY4" s="6" t="n">
        <v>1</v>
      </c>
      <c r="EZ4" s="6" t="n">
        <v>819.83</v>
      </c>
      <c r="FA4" s="0"/>
      <c r="FB4" s="6" t="n">
        <v>87.72</v>
      </c>
      <c r="FC4" s="0" t="s">
        <v>1049</v>
      </c>
      <c r="FD4" s="11" t="n">
        <v>46027</v>
      </c>
      <c r="FE4" s="6" t="n">
        <v>1</v>
      </c>
      <c r="FF4" s="6" t="n">
        <v>941.67</v>
      </c>
      <c r="FG4" s="11" t="n">
        <v>45670</v>
      </c>
      <c r="FH4" s="6" t="n">
        <v>1</v>
      </c>
      <c r="FI4" s="6" t="n">
        <v>808.9</v>
      </c>
      <c r="FJ4" s="11" t="n">
        <v>45709</v>
      </c>
      <c r="FK4" s="6" t="n">
        <v>1</v>
      </c>
      <c r="FL4" s="6" t="n">
        <v>876.53</v>
      </c>
      <c r="FM4" s="0"/>
      <c r="FN4" s="5" t="s">
        <f>=SUM(FO2:FO3)/SUM(FN2:FN3)</f>
      </c>
      <c r="FO4" s="0" t="s">
        <v>11</v>
      </c>
      <c r="FP4" s="0"/>
      <c r="FQ4" s="5" t="s">
        <f>=SUM(FR2:FR3)/SUM(FQ2:FQ3)</f>
      </c>
      <c r="FR4" s="0" t="s">
        <v>11</v>
      </c>
      <c r="FS4" s="0"/>
      <c r="FT4" s="5" t="s">
        <f>=SUM(FU2:FU3)/SUM(FT2:FT3)</f>
      </c>
      <c r="FU4" s="0" t="s">
        <v>11</v>
      </c>
      <c r="FV4" s="0"/>
      <c r="FW4" s="5" t="s">
        <f>=SUM(FX2:FX3)/SUM(FW2:FW3)</f>
      </c>
      <c r="FX4" s="0" t="s">
        <v>11</v>
      </c>
      <c r="FY4" s="0"/>
      <c r="FZ4" s="5" t="s">
        <f>=SUM(GA2:GA3)/SUM(FZ2:FZ3)</f>
      </c>
      <c r="GA4" s="0" t="s">
        <v>11</v>
      </c>
      <c r="GB4" s="0"/>
      <c r="GC4" s="5" t="s">
        <f>=SUM(GD2:GD3)/SUM(GC2:GC3)</f>
      </c>
      <c r="GD4" s="0" t="s">
        <v>11</v>
      </c>
      <c r="GE4" s="0"/>
      <c r="GF4" s="5" t="s">
        <f>=SUM(GG2:GG3)/SUM(GF2:GF3)</f>
      </c>
      <c r="GG4" s="0" t="s">
        <v>11</v>
      </c>
      <c r="GH4" s="0"/>
      <c r="GI4" s="6" t="n">
        <v>100.18</v>
      </c>
      <c r="GJ4" s="0" t="s">
        <v>1049</v>
      </c>
      <c r="GK4" s="0"/>
      <c r="GL4" s="5" t="s">
        <f>=SUM(GM2:GM3)/SUM(GL2:GL3)</f>
      </c>
      <c r="GM4" s="0" t="s">
        <v>11</v>
      </c>
      <c r="GN4" s="0"/>
      <c r="GO4" s="5" t="s">
        <f>=SUM(GP2:GP3)/SUM(GO2:GO3)</f>
      </c>
      <c r="GP4" s="0" t="s">
        <v>11</v>
      </c>
      <c r="GQ4" s="0"/>
      <c r="GR4" s="5" t="s">
        <f>=SUM(GS2:GS3)/SUM(GR2:GR3)</f>
      </c>
      <c r="GS4" s="0" t="s">
        <v>11</v>
      </c>
      <c r="GT4" s="0"/>
      <c r="GU4" s="5" t="s">
        <f>=SUM(GV2:GV3)/SUM(GU2:GU3)</f>
      </c>
      <c r="GV4" s="0" t="s">
        <v>11</v>
      </c>
      <c r="GW4" s="0"/>
      <c r="GX4" s="5" t="s">
        <f>=SUM(GY2:GY3)/SUM(GX2:GX3)</f>
      </c>
      <c r="GY4" s="0" t="s">
        <v>11</v>
      </c>
      <c r="GZ4" s="0"/>
      <c r="HA4" s="5" t="s">
        <f>=SUM(HB2:HB3)/SUM(HA2:HA3)</f>
      </c>
      <c r="HB4" s="0" t="s">
        <v>11</v>
      </c>
      <c r="HC4" s="0"/>
      <c r="HD4" s="5" t="s">
        <f>=SUM(HE2:HE3)/SUM(HD2:HD3)</f>
      </c>
      <c r="HE4" s="0" t="s">
        <v>11</v>
      </c>
      <c r="HF4" s="0"/>
      <c r="HG4" s="5" t="s">
        <f>=SUM(HH2:HH3)/SUM(HG2:HG3)</f>
      </c>
      <c r="HH4" s="0" t="s">
        <v>11</v>
      </c>
      <c r="HI4" s="0"/>
      <c r="HJ4" s="5" t="s">
        <f>=SUM(HK2:HK3)/SUM(HJ2:HJ3)</f>
      </c>
      <c r="HK4" s="0" t="s">
        <v>11</v>
      </c>
      <c r="HL4" s="0"/>
      <c r="HM4" s="5" t="s">
        <f>=SUM(HN2:HN3)/SUM(HM2:HM3)</f>
      </c>
      <c r="HN4" s="0" t="s">
        <v>11</v>
      </c>
      <c r="HO4" s="0"/>
      <c r="HP4" s="6" t="n">
        <v>62.08</v>
      </c>
      <c r="HQ4" s="0" t="s">
        <v>1049</v>
      </c>
      <c r="HR4" s="0"/>
      <c r="HS4" s="6" t="n">
        <v>108.82</v>
      </c>
      <c r="HT4" s="0" t="s">
        <v>1049</v>
      </c>
      <c r="HU4" s="0"/>
      <c r="HV4" s="6" t="n">
        <v>105</v>
      </c>
      <c r="HW4" s="0" t="s">
        <v>1049</v>
      </c>
      <c r="HX4" s="0"/>
      <c r="HY4" s="6" t="n">
        <v>102.389</v>
      </c>
      <c r="HZ4" s="0" t="s">
        <v>1049</v>
      </c>
      <c r="IA4" s="0"/>
      <c r="IB4" s="6" t="n">
        <v>105.78</v>
      </c>
      <c r="IC4" s="0" t="s">
        <v>1049</v>
      </c>
      <c r="ID4" s="0"/>
      <c r="IE4" s="6" t="n">
        <v>105.75</v>
      </c>
      <c r="IF4" s="0" t="s">
        <v>1049</v>
      </c>
      <c r="IG4" s="0"/>
      <c r="IH4" s="6" t="n">
        <v>98.11</v>
      </c>
      <c r="II4" s="0" t="s">
        <v>1049</v>
      </c>
      <c r="IJ4" s="0"/>
      <c r="IK4" s="6" t="n">
        <v>103.23</v>
      </c>
      <c r="IL4" s="0" t="s">
        <v>1049</v>
      </c>
      <c r="IM4" s="0"/>
      <c r="IN4" s="6" t="n">
        <v>98.67</v>
      </c>
      <c r="IO4" s="0" t="s">
        <v>1049</v>
      </c>
      <c r="IP4" s="0"/>
      <c r="IQ4" s="6" t="n">
        <v>98.1</v>
      </c>
      <c r="IR4" s="0" t="s">
        <v>1049</v>
      </c>
      <c r="IS4" s="0"/>
      <c r="IT4" s="6" t="n">
        <v>99.61</v>
      </c>
      <c r="IU4" s="0" t="s">
        <v>1049</v>
      </c>
      <c r="IV4" s="0"/>
      <c r="IW4" s="6" t="n">
        <v>102.5</v>
      </c>
      <c r="IX4" s="0" t="s">
        <v>1049</v>
      </c>
      <c r="IY4" s="0"/>
      <c r="IZ4" s="6" t="n">
        <v>96.39</v>
      </c>
      <c r="JA4" s="0" t="s">
        <v>1049</v>
      </c>
      <c r="JB4" s="0"/>
      <c r="JC4" s="6" t="n">
        <v>95.39</v>
      </c>
      <c r="JD4" s="0" t="s">
        <v>1049</v>
      </c>
      <c r="JE4" s="0"/>
      <c r="JF4" s="6" t="n">
        <v>98.86</v>
      </c>
      <c r="JG4" s="0" t="s">
        <v>1049</v>
      </c>
      <c r="JH4" s="0"/>
      <c r="JI4" s="6" t="n">
        <v>95.39</v>
      </c>
      <c r="JJ4" s="0" t="s">
        <v>1049</v>
      </c>
      <c r="JK4" s="0"/>
      <c r="JL4" s="6" t="n">
        <v>97.76</v>
      </c>
      <c r="JM4" s="0" t="s">
        <v>1049</v>
      </c>
      <c r="JN4" s="0"/>
      <c r="JO4" s="6" t="n">
        <v>98.38</v>
      </c>
      <c r="JP4" s="0" t="s">
        <v>1049</v>
      </c>
      <c r="JQ4" s="0"/>
      <c r="JR4" s="6" t="n">
        <v>97.59</v>
      </c>
      <c r="JS4" s="0" t="s">
        <v>1049</v>
      </c>
      <c r="JT4" s="0"/>
      <c r="JU4" s="6" t="n">
        <v>96.14</v>
      </c>
      <c r="JV4" s="0" t="s">
        <v>1049</v>
      </c>
      <c r="JW4" s="0"/>
      <c r="JX4" s="6" t="n">
        <v>93.13</v>
      </c>
      <c r="JY4" s="0" t="s">
        <v>1049</v>
      </c>
      <c r="JZ4" s="0"/>
      <c r="KA4" s="6" t="n">
        <v>95.7</v>
      </c>
      <c r="KB4" s="0" t="s">
        <v>1049</v>
      </c>
      <c r="KC4" s="0"/>
      <c r="KD4" s="6" t="n">
        <v>92.67</v>
      </c>
      <c r="KE4" s="0" t="s">
        <v>1049</v>
      </c>
      <c r="KF4" s="0"/>
      <c r="KG4" s="6" t="n">
        <v>93.83</v>
      </c>
      <c r="KH4" s="0" t="s">
        <v>1049</v>
      </c>
      <c r="KI4" s="0"/>
      <c r="KJ4" s="6" t="n">
        <v>94.82</v>
      </c>
      <c r="KK4" s="0" t="s">
        <v>1049</v>
      </c>
      <c r="KL4" s="0"/>
      <c r="KM4" s="6" t="n">
        <v>91.3</v>
      </c>
      <c r="KN4" s="0" t="s">
        <v>1049</v>
      </c>
      <c r="KO4" s="0"/>
      <c r="KP4" s="6" t="n">
        <v>93.78</v>
      </c>
      <c r="KQ4" s="0" t="s">
        <v>1049</v>
      </c>
      <c r="KR4" s="0"/>
      <c r="KS4" s="6" t="n">
        <v>94.72</v>
      </c>
      <c r="KT4" s="0" t="s">
        <v>1049</v>
      </c>
      <c r="KU4" s="0"/>
      <c r="KV4" s="6" t="n">
        <v>91.99</v>
      </c>
      <c r="KW4" s="0" t="s">
        <v>1049</v>
      </c>
      <c r="KX4" s="0"/>
      <c r="KY4" s="6" t="n">
        <v>96.48</v>
      </c>
      <c r="KZ4" s="0" t="s">
        <v>1049</v>
      </c>
      <c r="LA4" s="0"/>
      <c r="LB4" s="6" t="n">
        <v>89.73</v>
      </c>
      <c r="LC4" s="0" t="s">
        <v>1049</v>
      </c>
      <c r="LD4" s="0"/>
      <c r="LE4" s="6" t="n">
        <v>88.58</v>
      </c>
      <c r="LF4" s="0" t="s">
        <v>1049</v>
      </c>
      <c r="LG4" s="0"/>
      <c r="LH4" s="6" t="n">
        <v>89.28</v>
      </c>
      <c r="LI4" s="0" t="s">
        <v>1049</v>
      </c>
      <c r="LJ4" s="0"/>
      <c r="LK4" s="6" t="n">
        <v>85.11</v>
      </c>
      <c r="LL4" s="0" t="s">
        <v>1049</v>
      </c>
      <c r="LM4" s="0"/>
      <c r="LN4" s="6" t="n">
        <v>89.35</v>
      </c>
      <c r="LO4" s="0" t="s">
        <v>1049</v>
      </c>
      <c r="LP4" s="0"/>
      <c r="LQ4" s="6" t="n">
        <v>99.52</v>
      </c>
      <c r="LR4" s="0" t="s">
        <v>1049</v>
      </c>
    </row>
    <row collapsed="false" customFormat="false" customHeight="false" hidden="false" ht="12.1" outlineLevel="0" r="5">
      <c r="A5" s="11" t="n">
        <v>45056</v>
      </c>
      <c r="B5" s="6" t="n">
        <v>10</v>
      </c>
      <c r="C5" s="6" t="n">
        <v>2223.55</v>
      </c>
      <c r="D5" s="0"/>
      <c r="E5" s="5" t="s">
        <f>=SUM(F2:F4)/SUM(E2:E4)</f>
      </c>
      <c r="F5" s="0" t="s">
        <v>11</v>
      </c>
      <c r="G5" s="0"/>
      <c r="H5" s="6" t="n">
        <v>10</v>
      </c>
      <c r="I5" s="0" t="s">
        <v>1050</v>
      </c>
      <c r="J5" s="11" t="n">
        <v>45776</v>
      </c>
      <c r="K5" s="6" t="n">
        <v>1</v>
      </c>
      <c r="L5" s="6" t="n">
        <v>3286.23</v>
      </c>
      <c r="M5" s="11" t="n">
        <v>45988</v>
      </c>
      <c r="N5" s="6" t="n">
        <v>5</v>
      </c>
      <c r="O5" s="6" t="n">
        <v>1503.3</v>
      </c>
      <c r="P5" s="11" t="n">
        <v>45506</v>
      </c>
      <c r="Q5" s="6" t="n">
        <v>10</v>
      </c>
      <c r="R5" s="6" t="n">
        <v>1323.56</v>
      </c>
      <c r="S5" s="0"/>
      <c r="T5" s="5" t="s">
        <f>=SUM(U2:U4)/SUM(T2:T4)</f>
      </c>
      <c r="U5" s="0" t="s">
        <v>11</v>
      </c>
      <c r="V5" s="11" t="n">
        <v>45639</v>
      </c>
      <c r="W5" s="6" t="n">
        <v>1</v>
      </c>
      <c r="X5" s="6" t="n">
        <v>563.79</v>
      </c>
      <c r="Y5" s="11" t="n">
        <v>45198</v>
      </c>
      <c r="Z5" s="6" t="n">
        <v>100</v>
      </c>
      <c r="AA5" s="6" t="n">
        <v>429.94</v>
      </c>
      <c r="AB5" s="0"/>
      <c r="AC5" s="6" t="n">
        <v>233.15</v>
      </c>
      <c r="AD5" s="0" t="s">
        <v>1049</v>
      </c>
      <c r="AE5" s="11" t="n">
        <v>45418</v>
      </c>
      <c r="AF5" s="6" t="n">
        <v>2</v>
      </c>
      <c r="AG5" s="6" t="n">
        <v>1674.81</v>
      </c>
      <c r="AH5" s="11" t="n">
        <v>45198</v>
      </c>
      <c r="AI5" s="6" t="n">
        <v>2</v>
      </c>
      <c r="AJ5" s="6" t="n">
        <v>258.07</v>
      </c>
      <c r="AK5" s="0"/>
      <c r="AL5" s="6" t="n">
        <v>100</v>
      </c>
      <c r="AM5" s="0" t="s">
        <v>1050</v>
      </c>
      <c r="AN5" s="0"/>
      <c r="AO5" s="6" t="n">
        <v>10</v>
      </c>
      <c r="AP5" s="0" t="s">
        <v>1050</v>
      </c>
      <c r="AQ5" s="11" t="n">
        <v>45356</v>
      </c>
      <c r="AR5" s="6" t="n">
        <v>10</v>
      </c>
      <c r="AS5" s="6" t="n">
        <v>403.41</v>
      </c>
      <c r="AT5" s="11" t="n">
        <v>45506</v>
      </c>
      <c r="AU5" s="6" t="n">
        <v>10</v>
      </c>
      <c r="AV5" s="6" t="n">
        <v>825.37</v>
      </c>
      <c r="AW5" s="0"/>
      <c r="AX5" s="6" t="n">
        <v>156.5</v>
      </c>
      <c r="AY5" s="0" t="s">
        <v>1049</v>
      </c>
      <c r="AZ5" s="0"/>
      <c r="BA5" s="6" t="n">
        <v>13.944</v>
      </c>
      <c r="BB5" s="0" t="s">
        <v>1049</v>
      </c>
      <c r="BC5" s="11" t="n">
        <v>45597</v>
      </c>
      <c r="BD5" s="6" t="n">
        <v>100</v>
      </c>
      <c r="BE5" s="6" t="n">
        <v>586.96</v>
      </c>
      <c r="BF5" s="0"/>
      <c r="BG5" s="6" t="n">
        <v>100</v>
      </c>
      <c r="BH5" s="0" t="s">
        <v>1050</v>
      </c>
      <c r="BI5" s="0"/>
      <c r="BJ5" s="6" t="n">
        <v>1</v>
      </c>
      <c r="BK5" s="0" t="s">
        <v>1050</v>
      </c>
      <c r="BL5" s="0"/>
      <c r="BM5" s="6" t="n">
        <v>10</v>
      </c>
      <c r="BN5" s="0" t="s">
        <v>1050</v>
      </c>
      <c r="BO5" s="0"/>
      <c r="BP5" s="5" t="s">
        <f>=SUM(BQ2:BQ4)/SUM(BP2:BP4)</f>
      </c>
      <c r="BQ5" s="0" t="s">
        <v>11</v>
      </c>
      <c r="BR5" s="0"/>
      <c r="BS5" s="6" t="n">
        <v>37.965</v>
      </c>
      <c r="BT5" s="0" t="s">
        <v>1049</v>
      </c>
      <c r="BU5" s="0"/>
      <c r="BV5" s="6" t="n">
        <v>10</v>
      </c>
      <c r="BW5" s="0" t="s">
        <v>1050</v>
      </c>
      <c r="BX5" s="11" t="n">
        <v>44958</v>
      </c>
      <c r="BY5" s="6" t="n">
        <v>1</v>
      </c>
      <c r="BZ5" s="6" t="n">
        <v>733.46</v>
      </c>
      <c r="CA5" s="11" t="n">
        <v>44929</v>
      </c>
      <c r="CB5" s="6" t="n">
        <v>2</v>
      </c>
      <c r="CC5" s="6" t="n">
        <v>2115.05</v>
      </c>
      <c r="CD5" s="11" t="n">
        <v>45351</v>
      </c>
      <c r="CE5" s="6" t="n">
        <v>1</v>
      </c>
      <c r="CF5" s="6" t="n">
        <v>849.91</v>
      </c>
      <c r="CG5" s="11" t="n">
        <v>45075</v>
      </c>
      <c r="CH5" s="6" t="n">
        <v>1</v>
      </c>
      <c r="CI5" s="6" t="n">
        <v>763.02</v>
      </c>
      <c r="CJ5" s="11" t="n">
        <v>45714</v>
      </c>
      <c r="CK5" s="6" t="n">
        <v>1</v>
      </c>
      <c r="CL5" s="6" t="n">
        <v>858.07</v>
      </c>
      <c r="CM5" s="11" t="n">
        <v>45702</v>
      </c>
      <c r="CN5" s="6" t="n">
        <v>1</v>
      </c>
      <c r="CO5" s="6" t="n">
        <v>857.06</v>
      </c>
      <c r="CP5" s="11" t="n">
        <v>45006</v>
      </c>
      <c r="CQ5" s="6" t="n">
        <v>2</v>
      </c>
      <c r="CR5" s="6" t="n">
        <v>1568.52</v>
      </c>
      <c r="CS5" s="11" t="n">
        <v>45021</v>
      </c>
      <c r="CT5" s="6" t="n">
        <v>1</v>
      </c>
      <c r="CU5" s="6" t="n">
        <v>776.84</v>
      </c>
      <c r="CV5" s="11" t="n">
        <v>44950</v>
      </c>
      <c r="CW5" s="6" t="n">
        <v>1</v>
      </c>
      <c r="CX5" s="6" t="n">
        <v>1067.75</v>
      </c>
      <c r="CY5" s="11" t="n">
        <v>45006</v>
      </c>
      <c r="CZ5" s="6" t="n">
        <v>2</v>
      </c>
      <c r="DA5" s="6" t="n">
        <v>1553.86</v>
      </c>
      <c r="DB5" s="11" t="n">
        <v>45714</v>
      </c>
      <c r="DC5" s="6" t="n">
        <v>1</v>
      </c>
      <c r="DD5" s="6" t="n">
        <v>829.05</v>
      </c>
      <c r="DE5" s="11" t="n">
        <v>45387</v>
      </c>
      <c r="DF5" s="6" t="n">
        <v>1</v>
      </c>
      <c r="DG5" s="6" t="n">
        <v>852.04</v>
      </c>
      <c r="DH5" s="11" t="n">
        <v>45756</v>
      </c>
      <c r="DI5" s="6" t="n">
        <v>1</v>
      </c>
      <c r="DJ5" s="6" t="n">
        <v>834.81</v>
      </c>
      <c r="DK5" s="11" t="n">
        <v>45240</v>
      </c>
      <c r="DL5" s="6" t="n">
        <v>1</v>
      </c>
      <c r="DM5" s="6" t="n">
        <v>844.62</v>
      </c>
      <c r="DN5" s="11" t="n">
        <v>45240</v>
      </c>
      <c r="DO5" s="6" t="n">
        <v>1</v>
      </c>
      <c r="DP5" s="6" t="n">
        <v>724.95</v>
      </c>
      <c r="DQ5" s="11" t="n">
        <v>45378</v>
      </c>
      <c r="DR5" s="6" t="n">
        <v>1</v>
      </c>
      <c r="DS5" s="6" t="n">
        <v>898.85</v>
      </c>
      <c r="DT5" s="11" t="n">
        <v>45447</v>
      </c>
      <c r="DU5" s="6" t="n">
        <v>1</v>
      </c>
      <c r="DV5" s="6" t="n">
        <v>749.51</v>
      </c>
      <c r="DW5" s="11" t="n">
        <v>45006</v>
      </c>
      <c r="DX5" s="6" t="n">
        <v>1</v>
      </c>
      <c r="DY5" s="6" t="n">
        <v>779.89</v>
      </c>
      <c r="DZ5" s="11" t="n">
        <v>45146</v>
      </c>
      <c r="EA5" s="6" t="n">
        <v>1</v>
      </c>
      <c r="EB5" s="6" t="n">
        <v>994.76</v>
      </c>
      <c r="EC5" s="11" t="n">
        <v>45210</v>
      </c>
      <c r="ED5" s="6" t="n">
        <v>1</v>
      </c>
      <c r="EE5" s="6" t="n">
        <v>1075.09</v>
      </c>
      <c r="EF5" s="11" t="n">
        <v>45959</v>
      </c>
      <c r="EG5" s="6" t="n">
        <v>1</v>
      </c>
      <c r="EH5" s="6" t="n">
        <v>899.29</v>
      </c>
      <c r="EI5" s="11" t="n">
        <v>46015</v>
      </c>
      <c r="EJ5" s="6" t="n">
        <v>1</v>
      </c>
      <c r="EK5" s="6" t="n">
        <v>869.66</v>
      </c>
      <c r="EL5" s="11" t="n">
        <v>45688</v>
      </c>
      <c r="EM5" s="6" t="n">
        <v>1</v>
      </c>
      <c r="EN5" s="6" t="n">
        <v>922.86</v>
      </c>
      <c r="EO5" s="11" t="n">
        <v>45566</v>
      </c>
      <c r="EP5" s="6" t="n">
        <v>1</v>
      </c>
      <c r="EQ5" s="6" t="n">
        <v>633.73</v>
      </c>
      <c r="ER5" s="11" t="n">
        <v>45030</v>
      </c>
      <c r="ES5" s="6" t="n">
        <v>1</v>
      </c>
      <c r="ET5" s="6" t="n">
        <v>1163.89</v>
      </c>
      <c r="EU5" s="11" t="n">
        <v>45702</v>
      </c>
      <c r="EV5" s="6" t="n">
        <v>1</v>
      </c>
      <c r="EW5" s="6" t="n">
        <v>934.51</v>
      </c>
      <c r="EX5" s="11" t="n">
        <v>45506</v>
      </c>
      <c r="EY5" s="6" t="n">
        <v>1</v>
      </c>
      <c r="EZ5" s="6" t="n">
        <v>815.29</v>
      </c>
      <c r="FA5" s="0"/>
      <c r="FB5" s="6" t="n">
        <v>2</v>
      </c>
      <c r="FC5" s="0" t="s">
        <v>1050</v>
      </c>
      <c r="FD5" s="0"/>
      <c r="FE5" s="5" t="s">
        <f>=SUM(FF2:FF4)/SUM(FE2:FE4)</f>
      </c>
      <c r="FF5" s="0" t="s">
        <v>11</v>
      </c>
      <c r="FG5" s="0"/>
      <c r="FH5" s="5" t="s">
        <f>=SUM(FI2:FI4)/SUM(FH2:FH4)</f>
      </c>
      <c r="FI5" s="0" t="s">
        <v>11</v>
      </c>
      <c r="FJ5" s="0"/>
      <c r="FK5" s="5" t="s">
        <f>=SUM(FL2:FL4)/SUM(FK2:FK4)</f>
      </c>
      <c r="FL5" s="0" t="s">
        <v>11</v>
      </c>
      <c r="FM5" s="0"/>
      <c r="FN5" s="6" t="n">
        <v>109.63</v>
      </c>
      <c r="FO5" s="0" t="s">
        <v>1049</v>
      </c>
      <c r="FP5" s="0"/>
      <c r="FQ5" s="6" t="n">
        <v>102.84</v>
      </c>
      <c r="FR5" s="0" t="s">
        <v>1049</v>
      </c>
      <c r="FS5" s="0"/>
      <c r="FT5" s="6" t="n">
        <v>102.47</v>
      </c>
      <c r="FU5" s="0" t="s">
        <v>1049</v>
      </c>
      <c r="FV5" s="0"/>
      <c r="FW5" s="6" t="n">
        <v>102.28</v>
      </c>
      <c r="FX5" s="0" t="s">
        <v>1049</v>
      </c>
      <c r="FY5" s="0"/>
      <c r="FZ5" s="6" t="n">
        <v>103.33</v>
      </c>
      <c r="GA5" s="0" t="s">
        <v>1049</v>
      </c>
      <c r="GB5" s="0"/>
      <c r="GC5" s="6" t="n">
        <v>101</v>
      </c>
      <c r="GD5" s="0" t="s">
        <v>1049</v>
      </c>
      <c r="GE5" s="0"/>
      <c r="GF5" s="6" t="n">
        <v>98.31</v>
      </c>
      <c r="GG5" s="0" t="s">
        <v>1049</v>
      </c>
      <c r="GH5" s="0"/>
      <c r="GI5" s="6" t="n">
        <v>2</v>
      </c>
      <c r="GJ5" s="0" t="s">
        <v>1050</v>
      </c>
      <c r="GK5" s="0"/>
      <c r="GL5" s="6" t="n">
        <v>100.06</v>
      </c>
      <c r="GM5" s="0" t="s">
        <v>1049</v>
      </c>
      <c r="GN5" s="0"/>
      <c r="GO5" s="6" t="n">
        <v>92.864</v>
      </c>
      <c r="GP5" s="0" t="s">
        <v>1049</v>
      </c>
      <c r="GQ5" s="0"/>
      <c r="GR5" s="6" t="n">
        <v>92.592</v>
      </c>
      <c r="GS5" s="0" t="s">
        <v>1049</v>
      </c>
      <c r="GT5" s="0"/>
      <c r="GU5" s="6" t="n">
        <v>93.75</v>
      </c>
      <c r="GV5" s="0" t="s">
        <v>1049</v>
      </c>
      <c r="GW5" s="0"/>
      <c r="GX5" s="6" t="n">
        <v>90.26</v>
      </c>
      <c r="GY5" s="0" t="s">
        <v>1049</v>
      </c>
      <c r="GZ5" s="0"/>
      <c r="HA5" s="6" t="n">
        <v>90.39</v>
      </c>
      <c r="HB5" s="0" t="s">
        <v>1049</v>
      </c>
      <c r="HC5" s="0"/>
      <c r="HD5" s="6" t="n">
        <v>87.21</v>
      </c>
      <c r="HE5" s="0" t="s">
        <v>1049</v>
      </c>
      <c r="HF5" s="0"/>
      <c r="HG5" s="6" t="n">
        <v>86.3</v>
      </c>
      <c r="HH5" s="0" t="s">
        <v>1049</v>
      </c>
      <c r="HI5" s="0"/>
      <c r="HJ5" s="6" t="n">
        <v>96.17</v>
      </c>
      <c r="HK5" s="0" t="s">
        <v>1049</v>
      </c>
      <c r="HL5" s="0"/>
      <c r="HM5" s="6" t="n">
        <v>80.59</v>
      </c>
      <c r="HN5" s="0" t="s">
        <v>1049</v>
      </c>
      <c r="HO5" s="0"/>
      <c r="HP5" s="6" t="n">
        <v>2</v>
      </c>
      <c r="HQ5" s="0" t="s">
        <v>1050</v>
      </c>
      <c r="HR5" s="0"/>
      <c r="HS5" s="6" t="n">
        <v>1</v>
      </c>
      <c r="HT5" s="0" t="s">
        <v>1050</v>
      </c>
      <c r="HU5" s="0"/>
      <c r="HV5" s="6" t="n">
        <v>1</v>
      </c>
      <c r="HW5" s="0" t="s">
        <v>1050</v>
      </c>
      <c r="HX5" s="0"/>
      <c r="HY5" s="6" t="n">
        <v>1</v>
      </c>
      <c r="HZ5" s="0" t="s">
        <v>1050</v>
      </c>
      <c r="IA5" s="0"/>
      <c r="IB5" s="6" t="n">
        <v>1</v>
      </c>
      <c r="IC5" s="0" t="s">
        <v>1050</v>
      </c>
      <c r="ID5" s="0"/>
      <c r="IE5" s="6" t="n">
        <v>1</v>
      </c>
      <c r="IF5" s="0" t="s">
        <v>1050</v>
      </c>
      <c r="IG5" s="0"/>
      <c r="IH5" s="6" t="n">
        <v>1</v>
      </c>
      <c r="II5" s="0" t="s">
        <v>1050</v>
      </c>
      <c r="IJ5" s="0"/>
      <c r="IK5" s="6" t="n">
        <v>1</v>
      </c>
      <c r="IL5" s="0" t="s">
        <v>1050</v>
      </c>
      <c r="IM5" s="0"/>
      <c r="IN5" s="6" t="n">
        <v>1</v>
      </c>
      <c r="IO5" s="0" t="s">
        <v>1050</v>
      </c>
      <c r="IP5" s="0"/>
      <c r="IQ5" s="6" t="n">
        <v>1</v>
      </c>
      <c r="IR5" s="0" t="s">
        <v>1050</v>
      </c>
      <c r="IS5" s="0"/>
      <c r="IT5" s="6" t="n">
        <v>1</v>
      </c>
      <c r="IU5" s="0" t="s">
        <v>1050</v>
      </c>
      <c r="IV5" s="0"/>
      <c r="IW5" s="6" t="n">
        <v>1</v>
      </c>
      <c r="IX5" s="0" t="s">
        <v>1050</v>
      </c>
      <c r="IY5" s="0"/>
      <c r="IZ5" s="6" t="n">
        <v>1</v>
      </c>
      <c r="JA5" s="0" t="s">
        <v>1050</v>
      </c>
      <c r="JB5" s="0"/>
      <c r="JC5" s="6" t="n">
        <v>1</v>
      </c>
      <c r="JD5" s="0" t="s">
        <v>1050</v>
      </c>
      <c r="JE5" s="0"/>
      <c r="JF5" s="6" t="n">
        <v>1</v>
      </c>
      <c r="JG5" s="0" t="s">
        <v>1050</v>
      </c>
      <c r="JH5" s="0"/>
      <c r="JI5" s="6" t="n">
        <v>1</v>
      </c>
      <c r="JJ5" s="0" t="s">
        <v>1050</v>
      </c>
      <c r="JK5" s="0"/>
      <c r="JL5" s="6" t="n">
        <v>1</v>
      </c>
      <c r="JM5" s="0" t="s">
        <v>1050</v>
      </c>
      <c r="JN5" s="0"/>
      <c r="JO5" s="6" t="n">
        <v>1</v>
      </c>
      <c r="JP5" s="0" t="s">
        <v>1050</v>
      </c>
      <c r="JQ5" s="0"/>
      <c r="JR5" s="6" t="n">
        <v>1</v>
      </c>
      <c r="JS5" s="0" t="s">
        <v>1050</v>
      </c>
      <c r="JT5" s="0"/>
      <c r="JU5" s="6" t="n">
        <v>1</v>
      </c>
      <c r="JV5" s="0" t="s">
        <v>1050</v>
      </c>
      <c r="JW5" s="0"/>
      <c r="JX5" s="6" t="n">
        <v>1</v>
      </c>
      <c r="JY5" s="0" t="s">
        <v>1050</v>
      </c>
      <c r="JZ5" s="0"/>
      <c r="KA5" s="6" t="n">
        <v>1</v>
      </c>
      <c r="KB5" s="0" t="s">
        <v>1050</v>
      </c>
      <c r="KC5" s="0"/>
      <c r="KD5" s="6" t="n">
        <v>2</v>
      </c>
      <c r="KE5" s="0" t="s">
        <v>1050</v>
      </c>
      <c r="KF5" s="0"/>
      <c r="KG5" s="6" t="n">
        <v>1</v>
      </c>
      <c r="KH5" s="0" t="s">
        <v>1050</v>
      </c>
      <c r="KI5" s="0"/>
      <c r="KJ5" s="6" t="n">
        <v>1</v>
      </c>
      <c r="KK5" s="0" t="s">
        <v>1050</v>
      </c>
      <c r="KL5" s="0"/>
      <c r="KM5" s="6" t="n">
        <v>1</v>
      </c>
      <c r="KN5" s="0" t="s">
        <v>1050</v>
      </c>
      <c r="KO5" s="0"/>
      <c r="KP5" s="6" t="n">
        <v>1</v>
      </c>
      <c r="KQ5" s="0" t="s">
        <v>1050</v>
      </c>
      <c r="KR5" s="0"/>
      <c r="KS5" s="6" t="n">
        <v>1</v>
      </c>
      <c r="KT5" s="0" t="s">
        <v>1050</v>
      </c>
      <c r="KU5" s="0"/>
      <c r="KV5" s="6" t="n">
        <v>1</v>
      </c>
      <c r="KW5" s="0" t="s">
        <v>1050</v>
      </c>
      <c r="KX5" s="0"/>
      <c r="KY5" s="6" t="n">
        <v>1</v>
      </c>
      <c r="KZ5" s="0" t="s">
        <v>1050</v>
      </c>
      <c r="LA5" s="0"/>
      <c r="LB5" s="6" t="n">
        <v>1</v>
      </c>
      <c r="LC5" s="0" t="s">
        <v>1050</v>
      </c>
      <c r="LD5" s="0"/>
      <c r="LE5" s="6" t="n">
        <v>1</v>
      </c>
      <c r="LF5" s="0" t="s">
        <v>1050</v>
      </c>
      <c r="LG5" s="0"/>
      <c r="LH5" s="6" t="n">
        <v>1</v>
      </c>
      <c r="LI5" s="0" t="s">
        <v>1050</v>
      </c>
      <c r="LJ5" s="0"/>
      <c r="LK5" s="6" t="n">
        <v>1</v>
      </c>
      <c r="LL5" s="0" t="s">
        <v>1050</v>
      </c>
      <c r="LM5" s="0"/>
      <c r="LN5" s="6" t="n">
        <v>1</v>
      </c>
      <c r="LO5" s="0" t="s">
        <v>1050</v>
      </c>
      <c r="LP5" s="0"/>
      <c r="LQ5" s="6" t="n">
        <v>1</v>
      </c>
      <c r="LR5" s="0" t="s">
        <v>1050</v>
      </c>
    </row>
    <row collapsed="false" customFormat="false" customHeight="false" hidden="false" ht="12.1" outlineLevel="0" r="6">
      <c r="A6" s="11" t="n">
        <v>45056</v>
      </c>
      <c r="B6" s="6" t="n">
        <v>10</v>
      </c>
      <c r="C6" s="6" t="n">
        <v>2223.15</v>
      </c>
      <c r="D6" s="0"/>
      <c r="E6" s="6" t="n">
        <v>4808.5</v>
      </c>
      <c r="F6" s="0" t="s">
        <v>1049</v>
      </c>
      <c r="G6" s="0"/>
      <c r="H6" s="5" t="s">
        <f>=H5*(ABS(H4)-ABS(H3))</f>
      </c>
      <c r="I6" s="0" t="s">
        <v>1051</v>
      </c>
      <c r="J6" s="11" t="n">
        <v>45813</v>
      </c>
      <c r="K6" s="6" t="n">
        <v>1</v>
      </c>
      <c r="L6" s="6" t="n">
        <v>3315.92</v>
      </c>
      <c r="M6" s="0"/>
      <c r="N6" s="5" t="s">
        <f>=SUM(O2:O5)/SUM(N2:N5)</f>
      </c>
      <c r="O6" s="0" t="s">
        <v>11</v>
      </c>
      <c r="P6" s="11" t="n">
        <v>45597</v>
      </c>
      <c r="Q6" s="6" t="n">
        <v>10</v>
      </c>
      <c r="R6" s="6" t="n">
        <v>1236.7</v>
      </c>
      <c r="S6" s="0"/>
      <c r="T6" s="6" t="n">
        <v>183.39</v>
      </c>
      <c r="U6" s="0" t="s">
        <v>1049</v>
      </c>
      <c r="V6" s="11" t="n">
        <v>45729</v>
      </c>
      <c r="W6" s="6" t="n">
        <v>1</v>
      </c>
      <c r="X6" s="6" t="n">
        <v>697.19</v>
      </c>
      <c r="Y6" s="11" t="n">
        <v>45219</v>
      </c>
      <c r="Z6" s="6" t="n">
        <v>200</v>
      </c>
      <c r="AA6" s="6" t="n">
        <v>886.15</v>
      </c>
      <c r="AB6" s="0"/>
      <c r="AC6" s="6" t="n">
        <v>20</v>
      </c>
      <c r="AD6" s="0" t="s">
        <v>1050</v>
      </c>
      <c r="AE6" s="11" t="n">
        <v>45506</v>
      </c>
      <c r="AF6" s="6" t="n">
        <v>4</v>
      </c>
      <c r="AG6" s="6" t="n">
        <v>3013.81</v>
      </c>
      <c r="AH6" s="11" t="n">
        <v>45219</v>
      </c>
      <c r="AI6" s="6" t="n">
        <v>4</v>
      </c>
      <c r="AJ6" s="6" t="n">
        <v>520.96</v>
      </c>
      <c r="AK6" s="0"/>
      <c r="AL6" s="5" t="s">
        <f>=AL5*(ABS(AL4)-ABS(AL3))</f>
      </c>
      <c r="AM6" s="0" t="s">
        <v>1051</v>
      </c>
      <c r="AN6" s="0"/>
      <c r="AO6" s="5" t="s">
        <f>=AO5*(ABS(AO4)-ABS(AO3))</f>
      </c>
      <c r="AP6" s="0" t="s">
        <v>1051</v>
      </c>
      <c r="AQ6" s="11" t="n">
        <v>45541</v>
      </c>
      <c r="AR6" s="6" t="n">
        <v>10</v>
      </c>
      <c r="AS6" s="6" t="n">
        <v>479.63</v>
      </c>
      <c r="AT6" s="11" t="n">
        <v>45639</v>
      </c>
      <c r="AU6" s="6" t="n">
        <v>10</v>
      </c>
      <c r="AV6" s="6" t="n">
        <v>511.73</v>
      </c>
      <c r="AW6" s="0"/>
      <c r="AX6" s="6" t="n">
        <v>20</v>
      </c>
      <c r="AY6" s="0" t="s">
        <v>1050</v>
      </c>
      <c r="AZ6" s="0"/>
      <c r="BA6" s="6" t="n">
        <v>200</v>
      </c>
      <c r="BB6" s="0" t="s">
        <v>1050</v>
      </c>
      <c r="BC6" s="0"/>
      <c r="BD6" s="5" t="s">
        <f>=SUM(BE2:BE5)/SUM(BD2:BD5)</f>
      </c>
      <c r="BE6" s="0" t="s">
        <v>11</v>
      </c>
      <c r="BF6" s="0"/>
      <c r="BG6" s="5" t="s">
        <f>=BG5*(ABS(BG4)-ABS(BG3))</f>
      </c>
      <c r="BH6" s="0" t="s">
        <v>1051</v>
      </c>
      <c r="BI6" s="0"/>
      <c r="BJ6" s="5" t="s">
        <f>=BJ5*(ABS(BJ4)-ABS(BJ3))</f>
      </c>
      <c r="BK6" s="0" t="s">
        <v>1051</v>
      </c>
      <c r="BL6" s="0"/>
      <c r="BM6" s="5" t="s">
        <f>=BM5*(ABS(BM4)-ABS(BM3))</f>
      </c>
      <c r="BN6" s="0" t="s">
        <v>1051</v>
      </c>
      <c r="BO6" s="0"/>
      <c r="BP6" s="6" t="n">
        <v>31.745</v>
      </c>
      <c r="BQ6" s="0" t="s">
        <v>1049</v>
      </c>
      <c r="BR6" s="0"/>
      <c r="BS6" s="6" t="n">
        <v>20</v>
      </c>
      <c r="BT6" s="0" t="s">
        <v>1050</v>
      </c>
      <c r="BU6" s="0"/>
      <c r="BV6" s="5" t="s">
        <f>=BV5*(ABS(BV4)-ABS(BV3))</f>
      </c>
      <c r="BW6" s="0" t="s">
        <v>1051</v>
      </c>
      <c r="BX6" s="11" t="n">
        <v>45061</v>
      </c>
      <c r="BY6" s="6" t="n">
        <v>2</v>
      </c>
      <c r="BZ6" s="6" t="n">
        <v>1463.11</v>
      </c>
      <c r="CA6" s="11" t="n">
        <v>45098</v>
      </c>
      <c r="CB6" s="6" t="n">
        <v>1</v>
      </c>
      <c r="CC6" s="6" t="n">
        <v>1075.01</v>
      </c>
      <c r="CD6" s="11" t="n">
        <v>45356</v>
      </c>
      <c r="CE6" s="6" t="n">
        <v>1</v>
      </c>
      <c r="CF6" s="6" t="n">
        <v>809.72</v>
      </c>
      <c r="CG6" s="11" t="n">
        <v>45084</v>
      </c>
      <c r="CH6" s="6" t="n">
        <v>1</v>
      </c>
      <c r="CI6" s="6" t="n">
        <v>726.23</v>
      </c>
      <c r="CJ6" s="11" t="n">
        <v>45714</v>
      </c>
      <c r="CK6" s="6" t="n">
        <v>1</v>
      </c>
      <c r="CL6" s="6" t="n">
        <v>858.07</v>
      </c>
      <c r="CM6" s="11" t="n">
        <v>45702</v>
      </c>
      <c r="CN6" s="6" t="n">
        <v>1</v>
      </c>
      <c r="CO6" s="6" t="n">
        <v>822.39</v>
      </c>
      <c r="CP6" s="11" t="n">
        <v>45007</v>
      </c>
      <c r="CQ6" s="6" t="n">
        <v>1</v>
      </c>
      <c r="CR6" s="6" t="n">
        <v>763.63</v>
      </c>
      <c r="CS6" s="11" t="n">
        <v>45184</v>
      </c>
      <c r="CT6" s="6" t="n">
        <v>1</v>
      </c>
      <c r="CU6" s="6" t="n">
        <v>776.85</v>
      </c>
      <c r="CV6" s="11" t="n">
        <v>45063</v>
      </c>
      <c r="CW6" s="6" t="n">
        <v>1</v>
      </c>
      <c r="CX6" s="6" t="n">
        <v>1067.75</v>
      </c>
      <c r="CY6" s="11" t="n">
        <v>45082</v>
      </c>
      <c r="CZ6" s="6" t="n">
        <v>2</v>
      </c>
      <c r="DA6" s="6" t="n">
        <v>1541.26</v>
      </c>
      <c r="DB6" s="11" t="n">
        <v>45714</v>
      </c>
      <c r="DC6" s="6" t="n">
        <v>1</v>
      </c>
      <c r="DD6" s="6" t="n">
        <v>829.25</v>
      </c>
      <c r="DE6" s="11" t="n">
        <v>45387</v>
      </c>
      <c r="DF6" s="6" t="n">
        <v>1</v>
      </c>
      <c r="DG6" s="6" t="n">
        <v>851.49</v>
      </c>
      <c r="DH6" s="11" t="n">
        <v>45776</v>
      </c>
      <c r="DI6" s="6" t="n">
        <v>1</v>
      </c>
      <c r="DJ6" s="6" t="n">
        <v>937.83</v>
      </c>
      <c r="DK6" s="11" t="n">
        <v>45351</v>
      </c>
      <c r="DL6" s="6" t="n">
        <v>1</v>
      </c>
      <c r="DM6" s="6" t="n">
        <v>840.66</v>
      </c>
      <c r="DN6" s="11" t="n">
        <v>45385</v>
      </c>
      <c r="DO6" s="6" t="n">
        <v>1</v>
      </c>
      <c r="DP6" s="6" t="n">
        <v>690.86</v>
      </c>
      <c r="DQ6" s="11" t="n">
        <v>45387</v>
      </c>
      <c r="DR6" s="6" t="n">
        <v>1</v>
      </c>
      <c r="DS6" s="6" t="n">
        <v>898.68</v>
      </c>
      <c r="DT6" s="11" t="n">
        <v>45447</v>
      </c>
      <c r="DU6" s="6" t="n">
        <v>1</v>
      </c>
      <c r="DV6" s="6" t="n">
        <v>746.13</v>
      </c>
      <c r="DW6" s="11" t="n">
        <v>45070</v>
      </c>
      <c r="DX6" s="6" t="n">
        <v>1</v>
      </c>
      <c r="DY6" s="6" t="n">
        <v>780.39</v>
      </c>
      <c r="DZ6" s="11" t="n">
        <v>45252</v>
      </c>
      <c r="EA6" s="6" t="n">
        <v>1</v>
      </c>
      <c r="EB6" s="6" t="n">
        <v>926.38</v>
      </c>
      <c r="EC6" s="11" t="n">
        <v>45392</v>
      </c>
      <c r="ED6" s="6" t="n">
        <v>1</v>
      </c>
      <c r="EE6" s="6" t="n">
        <v>1099.94</v>
      </c>
      <c r="EF6" s="11" t="n">
        <v>46015</v>
      </c>
      <c r="EG6" s="6" t="n">
        <v>1</v>
      </c>
      <c r="EH6" s="6" t="n">
        <v>881.08</v>
      </c>
      <c r="EI6" s="11" t="n">
        <v>46027</v>
      </c>
      <c r="EJ6" s="6" t="n">
        <v>1</v>
      </c>
      <c r="EK6" s="6" t="n">
        <v>869.65</v>
      </c>
      <c r="EL6" s="11" t="n">
        <v>45813</v>
      </c>
      <c r="EM6" s="6" t="n">
        <v>1</v>
      </c>
      <c r="EN6" s="6" t="n">
        <v>931.4</v>
      </c>
      <c r="EO6" s="11" t="n">
        <v>45566</v>
      </c>
      <c r="EP6" s="6" t="n">
        <v>1</v>
      </c>
      <c r="EQ6" s="6" t="n">
        <v>725.28</v>
      </c>
      <c r="ER6" s="0"/>
      <c r="ES6" s="5" t="s">
        <f>=SUM(ET2:ET5)/SUM(ES2:ES5)</f>
      </c>
      <c r="ET6" s="0" t="s">
        <v>11</v>
      </c>
      <c r="EU6" s="0"/>
      <c r="EV6" s="5" t="s">
        <f>=SUM(EW2:EW5)/SUM(EV2:EV5)</f>
      </c>
      <c r="EW6" s="0" t="s">
        <v>11</v>
      </c>
      <c r="EX6" s="0"/>
      <c r="EY6" s="5" t="s">
        <f>=SUM(EZ2:EZ5)/SUM(EY2:EY5)</f>
      </c>
      <c r="EZ6" s="0" t="s">
        <v>11</v>
      </c>
      <c r="FA6" s="0"/>
      <c r="FB6" s="6" t="s">
        <f>=Портфель!G55*Портфель!$Q$13</f>
      </c>
      <c r="FC6" s="0" t="s">
        <v>6</v>
      </c>
      <c r="FD6" s="0"/>
      <c r="FE6" s="6" t="n">
        <v>92.011</v>
      </c>
      <c r="FF6" s="0" t="s">
        <v>1049</v>
      </c>
      <c r="FG6" s="0"/>
      <c r="FH6" s="6" t="n">
        <v>92.42</v>
      </c>
      <c r="FI6" s="0" t="s">
        <v>1049</v>
      </c>
      <c r="FJ6" s="0"/>
      <c r="FK6" s="6" t="n">
        <v>91.15</v>
      </c>
      <c r="FL6" s="0" t="s">
        <v>1049</v>
      </c>
      <c r="FM6" s="0"/>
      <c r="FN6" s="6" t="n">
        <v>2</v>
      </c>
      <c r="FO6" s="0" t="s">
        <v>1050</v>
      </c>
      <c r="FP6" s="0"/>
      <c r="FQ6" s="6" t="n">
        <v>2</v>
      </c>
      <c r="FR6" s="0" t="s">
        <v>1050</v>
      </c>
      <c r="FS6" s="0"/>
      <c r="FT6" s="6" t="n">
        <v>2</v>
      </c>
      <c r="FU6" s="0" t="s">
        <v>1050</v>
      </c>
      <c r="FV6" s="0"/>
      <c r="FW6" s="6" t="n">
        <v>2</v>
      </c>
      <c r="FX6" s="0" t="s">
        <v>1050</v>
      </c>
      <c r="FY6" s="0"/>
      <c r="FZ6" s="6" t="n">
        <v>2</v>
      </c>
      <c r="GA6" s="0" t="s">
        <v>1050</v>
      </c>
      <c r="GB6" s="0"/>
      <c r="GC6" s="6" t="n">
        <v>2</v>
      </c>
      <c r="GD6" s="0" t="s">
        <v>1050</v>
      </c>
      <c r="GE6" s="0"/>
      <c r="GF6" s="6" t="n">
        <v>2</v>
      </c>
      <c r="GG6" s="0" t="s">
        <v>1050</v>
      </c>
      <c r="GH6" s="0"/>
      <c r="GI6" s="6" t="s">
        <f>=Портфель!G66*Портфель!$Q$13</f>
      </c>
      <c r="GJ6" s="0" t="s">
        <v>6</v>
      </c>
      <c r="GK6" s="0"/>
      <c r="GL6" s="6" t="n">
        <v>2</v>
      </c>
      <c r="GM6" s="0" t="s">
        <v>1050</v>
      </c>
      <c r="GN6" s="0"/>
      <c r="GO6" s="6" t="n">
        <v>2</v>
      </c>
      <c r="GP6" s="0" t="s">
        <v>1050</v>
      </c>
      <c r="GQ6" s="0"/>
      <c r="GR6" s="6" t="n">
        <v>2</v>
      </c>
      <c r="GS6" s="0" t="s">
        <v>1050</v>
      </c>
      <c r="GT6" s="0"/>
      <c r="GU6" s="6" t="n">
        <v>2</v>
      </c>
      <c r="GV6" s="0" t="s">
        <v>1050</v>
      </c>
      <c r="GW6" s="0"/>
      <c r="GX6" s="6" t="n">
        <v>2</v>
      </c>
      <c r="GY6" s="0" t="s">
        <v>1050</v>
      </c>
      <c r="GZ6" s="0"/>
      <c r="HA6" s="6" t="n">
        <v>2</v>
      </c>
      <c r="HB6" s="0" t="s">
        <v>1050</v>
      </c>
      <c r="HC6" s="0"/>
      <c r="HD6" s="6" t="n">
        <v>2</v>
      </c>
      <c r="HE6" s="0" t="s">
        <v>1050</v>
      </c>
      <c r="HF6" s="0"/>
      <c r="HG6" s="6" t="n">
        <v>2</v>
      </c>
      <c r="HH6" s="0" t="s">
        <v>1050</v>
      </c>
      <c r="HI6" s="0"/>
      <c r="HJ6" s="6" t="n">
        <v>2</v>
      </c>
      <c r="HK6" s="0" t="s">
        <v>1050</v>
      </c>
      <c r="HL6" s="0"/>
      <c r="HM6" s="6" t="n">
        <v>2</v>
      </c>
      <c r="HN6" s="0" t="s">
        <v>1050</v>
      </c>
      <c r="HO6" s="0"/>
      <c r="HP6" s="6" t="s">
        <f>=Портфель!G77*Портфель!$Q$13</f>
      </c>
      <c r="HQ6" s="0" t="s">
        <v>6</v>
      </c>
      <c r="HR6" s="0"/>
      <c r="HS6" s="6" t="s">
        <f>=Портфель!G78*Портфель!$Q$13</f>
      </c>
      <c r="HT6" s="0" t="s">
        <v>6</v>
      </c>
      <c r="HU6" s="0"/>
      <c r="HV6" s="6" t="s">
        <f>=Портфель!G79*Портфель!$Q$13</f>
      </c>
      <c r="HW6" s="0" t="s">
        <v>6</v>
      </c>
      <c r="HX6" s="0"/>
      <c r="HY6" s="6" t="s">
        <f>=Портфель!G80*Портфель!$Q$13</f>
      </c>
      <c r="HZ6" s="0" t="s">
        <v>6</v>
      </c>
      <c r="IA6" s="0"/>
      <c r="IB6" s="6" t="s">
        <f>=Портфель!G81*Портфель!$Q$13</f>
      </c>
      <c r="IC6" s="0" t="s">
        <v>6</v>
      </c>
      <c r="ID6" s="0"/>
      <c r="IE6" s="6" t="s">
        <f>=Портфель!G82*Портфель!$Q$13</f>
      </c>
      <c r="IF6" s="0" t="s">
        <v>6</v>
      </c>
      <c r="IG6" s="0"/>
      <c r="IH6" s="6" t="s">
        <f>=Портфель!G83*Портфель!$Q$13</f>
      </c>
      <c r="II6" s="0" t="s">
        <v>6</v>
      </c>
      <c r="IJ6" s="0"/>
      <c r="IK6" s="6" t="s">
        <f>=Портфель!G84*Портфель!$Q$13</f>
      </c>
      <c r="IL6" s="0" t="s">
        <v>6</v>
      </c>
      <c r="IM6" s="0"/>
      <c r="IN6" s="6" t="s">
        <f>=Портфель!G85*Портфель!$Q$13</f>
      </c>
      <c r="IO6" s="0" t="s">
        <v>6</v>
      </c>
      <c r="IP6" s="0"/>
      <c r="IQ6" s="6" t="s">
        <f>=Портфель!G86*Портфель!$Q$13</f>
      </c>
      <c r="IR6" s="0" t="s">
        <v>6</v>
      </c>
      <c r="IS6" s="0"/>
      <c r="IT6" s="6" t="s">
        <f>=Портфель!G87*Портфель!$Q$13</f>
      </c>
      <c r="IU6" s="0" t="s">
        <v>6</v>
      </c>
      <c r="IV6" s="0"/>
      <c r="IW6" s="6" t="s">
        <f>=Портфель!G88*Портфель!$Q$13</f>
      </c>
      <c r="IX6" s="0" t="s">
        <v>6</v>
      </c>
      <c r="IY6" s="0"/>
      <c r="IZ6" s="6" t="s">
        <f>=Портфель!G89*Портфель!$Q$13</f>
      </c>
      <c r="JA6" s="0" t="s">
        <v>6</v>
      </c>
      <c r="JB6" s="0"/>
      <c r="JC6" s="6" t="s">
        <f>=Портфель!G90*Портфель!$Q$13</f>
      </c>
      <c r="JD6" s="0" t="s">
        <v>6</v>
      </c>
      <c r="JE6" s="0"/>
      <c r="JF6" s="6" t="s">
        <f>=Портфель!G91*Портфель!$Q$13</f>
      </c>
      <c r="JG6" s="0" t="s">
        <v>6</v>
      </c>
      <c r="JH6" s="0"/>
      <c r="JI6" s="6" t="s">
        <f>=Портфель!G92*Портфель!$Q$13</f>
      </c>
      <c r="JJ6" s="0" t="s">
        <v>6</v>
      </c>
      <c r="JK6" s="0"/>
      <c r="JL6" s="6" t="s">
        <f>=Портфель!G93*Портфель!$Q$13</f>
      </c>
      <c r="JM6" s="0" t="s">
        <v>6</v>
      </c>
      <c r="JN6" s="0"/>
      <c r="JO6" s="6" t="s">
        <f>=Портфель!G94*Портфель!$Q$13</f>
      </c>
      <c r="JP6" s="0" t="s">
        <v>6</v>
      </c>
      <c r="JQ6" s="0"/>
      <c r="JR6" s="6" t="s">
        <f>=Портфель!G95*Портфель!$Q$13</f>
      </c>
      <c r="JS6" s="0" t="s">
        <v>6</v>
      </c>
      <c r="JT6" s="0"/>
      <c r="JU6" s="6" t="s">
        <f>=Портфель!G96*Портфель!$Q$13</f>
      </c>
      <c r="JV6" s="0" t="s">
        <v>6</v>
      </c>
      <c r="JW6" s="0"/>
      <c r="JX6" s="6" t="s">
        <f>=Портфель!G97*Портфель!$Q$13</f>
      </c>
      <c r="JY6" s="0" t="s">
        <v>6</v>
      </c>
      <c r="JZ6" s="0"/>
      <c r="KA6" s="6" t="s">
        <f>=Портфель!G98*Портфель!$Q$13</f>
      </c>
      <c r="KB6" s="0" t="s">
        <v>6</v>
      </c>
      <c r="KC6" s="0"/>
      <c r="KD6" s="6" t="s">
        <f>=Портфель!G99*Портфель!$Q$13</f>
      </c>
      <c r="KE6" s="0" t="s">
        <v>6</v>
      </c>
      <c r="KF6" s="0"/>
      <c r="KG6" s="6" t="s">
        <f>=Портфель!G100*Портфель!$Q$13</f>
      </c>
      <c r="KH6" s="0" t="s">
        <v>6</v>
      </c>
      <c r="KI6" s="0"/>
      <c r="KJ6" s="6" t="s">
        <f>=Портфель!G101*Портфель!$Q$13</f>
      </c>
      <c r="KK6" s="0" t="s">
        <v>6</v>
      </c>
      <c r="KL6" s="0"/>
      <c r="KM6" s="6" t="s">
        <f>=Портфель!G102*Портфель!$Q$13</f>
      </c>
      <c r="KN6" s="0" t="s">
        <v>6</v>
      </c>
      <c r="KO6" s="0"/>
      <c r="KP6" s="6" t="s">
        <f>=Портфель!G103*Портфель!$Q$13</f>
      </c>
      <c r="KQ6" s="0" t="s">
        <v>6</v>
      </c>
      <c r="KR6" s="0"/>
      <c r="KS6" s="6" t="s">
        <f>=Портфель!G104*Портфель!$Q$13</f>
      </c>
      <c r="KT6" s="0" t="s">
        <v>6</v>
      </c>
      <c r="KU6" s="0"/>
      <c r="KV6" s="6" t="s">
        <f>=Портфель!G105*Портфель!$Q$13</f>
      </c>
      <c r="KW6" s="0" t="s">
        <v>6</v>
      </c>
      <c r="KX6" s="0"/>
      <c r="KY6" s="6" t="s">
        <f>=Портфель!G106*Портфель!$Q$13</f>
      </c>
      <c r="KZ6" s="0" t="s">
        <v>6</v>
      </c>
      <c r="LA6" s="0"/>
      <c r="LB6" s="6" t="s">
        <f>=Портфель!G107*Портфель!$Q$13</f>
      </c>
      <c r="LC6" s="0" t="s">
        <v>6</v>
      </c>
      <c r="LD6" s="0"/>
      <c r="LE6" s="6" t="s">
        <f>=Портфель!G108*Портфель!$Q$13</f>
      </c>
      <c r="LF6" s="0" t="s">
        <v>6</v>
      </c>
      <c r="LG6" s="0"/>
      <c r="LH6" s="6" t="s">
        <f>=Портфель!G109*Портфель!$Q$13</f>
      </c>
      <c r="LI6" s="0" t="s">
        <v>6</v>
      </c>
      <c r="LJ6" s="0"/>
      <c r="LK6" s="6" t="s">
        <f>=Портфель!G110*Портфель!$Q$13</f>
      </c>
      <c r="LL6" s="0" t="s">
        <v>6</v>
      </c>
      <c r="LM6" s="0"/>
      <c r="LN6" s="6" t="s">
        <f>=Портфель!G111*Портфель!$Q$13</f>
      </c>
      <c r="LO6" s="0" t="s">
        <v>6</v>
      </c>
      <c r="LP6" s="0"/>
      <c r="LQ6" s="6" t="s">
        <f>=Портфель!G112*Портфель!$Q$13</f>
      </c>
      <c r="LR6" s="0" t="s">
        <v>6</v>
      </c>
    </row>
    <row collapsed="false" customFormat="false" customHeight="false" hidden="false" ht="12.1" outlineLevel="0" r="7">
      <c r="A7" s="11" t="n">
        <v>45198</v>
      </c>
      <c r="B7" s="6" t="n">
        <v>10</v>
      </c>
      <c r="C7" s="6" t="n">
        <v>2615.22</v>
      </c>
      <c r="D7" s="0"/>
      <c r="E7" s="6" t="n">
        <v>6</v>
      </c>
      <c r="F7" s="0" t="s">
        <v>1050</v>
      </c>
      <c r="G7" s="0"/>
      <c r="H7" s="0"/>
      <c r="I7" s="0"/>
      <c r="J7" s="0"/>
      <c r="K7" s="5" t="s">
        <f>=SUM(L2:L6)/SUM(K2:K6)</f>
      </c>
      <c r="L7" s="0" t="s">
        <v>11</v>
      </c>
      <c r="M7" s="0"/>
      <c r="N7" s="6" t="n">
        <v>315.81</v>
      </c>
      <c r="O7" s="0" t="s">
        <v>1049</v>
      </c>
      <c r="P7" s="11" t="n">
        <v>45729</v>
      </c>
      <c r="Q7" s="6" t="n">
        <v>10</v>
      </c>
      <c r="R7" s="6" t="n">
        <v>1644.22</v>
      </c>
      <c r="S7" s="0"/>
      <c r="T7" s="6" t="n">
        <v>30</v>
      </c>
      <c r="U7" s="0" t="s">
        <v>1050</v>
      </c>
      <c r="V7" s="0"/>
      <c r="W7" s="5" t="s">
        <f>=SUM(X2:X6)/SUM(W2:W6)</f>
      </c>
      <c r="X7" s="0" t="s">
        <v>11</v>
      </c>
      <c r="Y7" s="11" t="n">
        <v>45244</v>
      </c>
      <c r="Z7" s="6" t="n">
        <v>100</v>
      </c>
      <c r="AA7" s="6" t="n">
        <v>428.28</v>
      </c>
      <c r="AB7" s="0"/>
      <c r="AC7" s="5" t="s">
        <f>=AC6*(ABS(AC5)-ABS(AC4))</f>
      </c>
      <c r="AD7" s="0" t="s">
        <v>1051</v>
      </c>
      <c r="AE7" s="0"/>
      <c r="AF7" s="5" t="s">
        <f>=SUM(AG2:AG6)/SUM(AF2:AF6)</f>
      </c>
      <c r="AG7" s="0" t="s">
        <v>11</v>
      </c>
      <c r="AH7" s="11" t="n">
        <v>45324</v>
      </c>
      <c r="AI7" s="6" t="n">
        <v>2</v>
      </c>
      <c r="AJ7" s="6" t="n">
        <v>246.14</v>
      </c>
      <c r="AK7" s="0"/>
      <c r="AL7" s="0"/>
      <c r="AM7" s="0"/>
      <c r="AN7" s="0"/>
      <c r="AO7" s="0"/>
      <c r="AP7" s="0"/>
      <c r="AQ7" s="11" t="n">
        <v>45639</v>
      </c>
      <c r="AR7" s="6" t="n">
        <v>10</v>
      </c>
      <c r="AS7" s="6" t="n">
        <v>478.53</v>
      </c>
      <c r="AT7" s="0"/>
      <c r="AU7" s="5" t="s">
        <f>=SUM(AV2:AV6)/SUM(AU2:AU6)</f>
      </c>
      <c r="AV7" s="0" t="s">
        <v>11</v>
      </c>
      <c r="AW7" s="0"/>
      <c r="AX7" s="5" t="s">
        <f>=AX6*(ABS(AX5)-ABS(AX4))</f>
      </c>
      <c r="AY7" s="0" t="s">
        <v>1051</v>
      </c>
      <c r="AZ7" s="0"/>
      <c r="BA7" s="5" t="s">
        <f>=BA6*(ABS(BA5)-ABS(BA4))</f>
      </c>
      <c r="BB7" s="0" t="s">
        <v>1051</v>
      </c>
      <c r="BC7" s="0"/>
      <c r="BD7" s="6" t="n">
        <v>6.097</v>
      </c>
      <c r="BE7" s="0" t="s">
        <v>1049</v>
      </c>
      <c r="BF7" s="0"/>
      <c r="BG7" s="0"/>
      <c r="BH7" s="0"/>
      <c r="BI7" s="0"/>
      <c r="BJ7" s="0"/>
      <c r="BK7" s="0"/>
      <c r="BL7" s="0"/>
      <c r="BM7" s="0"/>
      <c r="BN7" s="0"/>
      <c r="BO7" s="0"/>
      <c r="BP7" s="6" t="n">
        <v>30</v>
      </c>
      <c r="BQ7" s="0" t="s">
        <v>1050</v>
      </c>
      <c r="BR7" s="0"/>
      <c r="BS7" s="5" t="s">
        <f>=BS6*(ABS(BS5)-ABS(BS4))</f>
      </c>
      <c r="BT7" s="0" t="s">
        <v>1051</v>
      </c>
      <c r="BU7" s="0"/>
      <c r="BV7" s="0"/>
      <c r="BW7" s="0"/>
      <c r="BX7" s="11" t="n">
        <v>45075</v>
      </c>
      <c r="BY7" s="6" t="n">
        <v>2</v>
      </c>
      <c r="BZ7" s="6" t="n">
        <v>1453.76</v>
      </c>
      <c r="CA7" s="11" t="n">
        <v>45280</v>
      </c>
      <c r="CB7" s="6" t="n">
        <v>1</v>
      </c>
      <c r="CC7" s="6" t="n">
        <v>1076.54</v>
      </c>
      <c r="CD7" s="11" t="n">
        <v>45387</v>
      </c>
      <c r="CE7" s="6" t="n">
        <v>1</v>
      </c>
      <c r="CF7" s="6" t="n">
        <v>725.16</v>
      </c>
      <c r="CG7" s="11" t="n">
        <v>45091</v>
      </c>
      <c r="CH7" s="6" t="n">
        <v>2</v>
      </c>
      <c r="CI7" s="6" t="n">
        <v>1438.4</v>
      </c>
      <c r="CJ7" s="11" t="n">
        <v>45742</v>
      </c>
      <c r="CK7" s="6" t="n">
        <v>1</v>
      </c>
      <c r="CL7" s="6" t="n">
        <v>837.69</v>
      </c>
      <c r="CM7" s="11" t="n">
        <v>45714</v>
      </c>
      <c r="CN7" s="6" t="n">
        <v>1</v>
      </c>
      <c r="CO7" s="6" t="n">
        <v>822.39</v>
      </c>
      <c r="CP7" s="11" t="n">
        <v>45147</v>
      </c>
      <c r="CQ7" s="6" t="n">
        <v>1</v>
      </c>
      <c r="CR7" s="6" t="n">
        <v>763.59</v>
      </c>
      <c r="CS7" s="11" t="n">
        <v>45184</v>
      </c>
      <c r="CT7" s="6" t="n">
        <v>1</v>
      </c>
      <c r="CU7" s="6" t="n">
        <v>746.54</v>
      </c>
      <c r="CV7" s="11" t="n">
        <v>45245</v>
      </c>
      <c r="CW7" s="6" t="n">
        <v>1</v>
      </c>
      <c r="CX7" s="6" t="n">
        <v>1098.65</v>
      </c>
      <c r="CY7" s="11" t="n">
        <v>45104</v>
      </c>
      <c r="CZ7" s="6" t="n">
        <v>1</v>
      </c>
      <c r="DA7" s="6" t="n">
        <v>720.42</v>
      </c>
      <c r="DB7" s="11" t="n">
        <v>45714</v>
      </c>
      <c r="DC7" s="6" t="n">
        <v>1</v>
      </c>
      <c r="DD7" s="6" t="n">
        <v>873.64</v>
      </c>
      <c r="DE7" s="11" t="n">
        <v>45441</v>
      </c>
      <c r="DF7" s="6" t="n">
        <v>1</v>
      </c>
      <c r="DG7" s="6" t="n">
        <v>757.91</v>
      </c>
      <c r="DH7" s="11" t="n">
        <v>45869</v>
      </c>
      <c r="DI7" s="6" t="n">
        <v>1</v>
      </c>
      <c r="DJ7" s="6" t="n">
        <v>937.83</v>
      </c>
      <c r="DK7" s="11" t="n">
        <v>45356</v>
      </c>
      <c r="DL7" s="6" t="n">
        <v>1</v>
      </c>
      <c r="DM7" s="6" t="n">
        <v>743.9</v>
      </c>
      <c r="DN7" s="11" t="n">
        <v>45387</v>
      </c>
      <c r="DO7" s="6" t="n">
        <v>1</v>
      </c>
      <c r="DP7" s="6" t="n">
        <v>687.35</v>
      </c>
      <c r="DQ7" s="11" t="n">
        <v>45387</v>
      </c>
      <c r="DR7" s="6" t="n">
        <v>1</v>
      </c>
      <c r="DS7" s="6" t="n">
        <v>852.79</v>
      </c>
      <c r="DT7" s="11" t="n">
        <v>45506</v>
      </c>
      <c r="DU7" s="6" t="n">
        <v>1</v>
      </c>
      <c r="DV7" s="6" t="n">
        <v>682.15</v>
      </c>
      <c r="DW7" s="11" t="n">
        <v>45184</v>
      </c>
      <c r="DX7" s="6" t="n">
        <v>1</v>
      </c>
      <c r="DY7" s="6" t="n">
        <v>791.63</v>
      </c>
      <c r="DZ7" s="0"/>
      <c r="EA7" s="5" t="s">
        <f>=SUM(EB2:EB6)/SUM(EA2:EA6)</f>
      </c>
      <c r="EB7" s="0" t="s">
        <v>11</v>
      </c>
      <c r="EC7" s="0"/>
      <c r="ED7" s="5" t="s">
        <f>=SUM(EE2:EE6)/SUM(ED2:ED6)</f>
      </c>
      <c r="EE7" s="0" t="s">
        <v>11</v>
      </c>
      <c r="EF7" s="11" t="n">
        <v>46027</v>
      </c>
      <c r="EG7" s="6" t="n">
        <v>1</v>
      </c>
      <c r="EH7" s="6" t="n">
        <v>881.08</v>
      </c>
      <c r="EI7" s="11" t="n">
        <v>46027</v>
      </c>
      <c r="EJ7" s="6" t="n">
        <v>1</v>
      </c>
      <c r="EK7" s="6" t="n">
        <v>869.65</v>
      </c>
      <c r="EL7" s="0"/>
      <c r="EM7" s="5" t="s">
        <f>=SUM(EN2:EN6)/SUM(EM2:EM6)</f>
      </c>
      <c r="EN7" s="0" t="s">
        <v>11</v>
      </c>
      <c r="EO7" s="11" t="n">
        <v>45686</v>
      </c>
      <c r="EP7" s="6" t="n">
        <v>1</v>
      </c>
      <c r="EQ7" s="6" t="n">
        <v>725.24</v>
      </c>
      <c r="ER7" s="0"/>
      <c r="ES7" s="6" t="n">
        <v>73.871</v>
      </c>
      <c r="ET7" s="0" t="s">
        <v>1049</v>
      </c>
      <c r="EU7" s="0"/>
      <c r="EV7" s="6" t="n">
        <v>94.14</v>
      </c>
      <c r="EW7" s="0" t="s">
        <v>1049</v>
      </c>
      <c r="EX7" s="0"/>
      <c r="EY7" s="6" t="n">
        <v>87.25</v>
      </c>
      <c r="EZ7" s="0" t="s">
        <v>1049</v>
      </c>
      <c r="FA7" s="0"/>
      <c r="FB7" s="6" t="s">
        <f>=Портфель!H55*Портфель!$Q$13</f>
      </c>
      <c r="FC7" s="0" t="s">
        <v>7</v>
      </c>
      <c r="FD7" s="0"/>
      <c r="FE7" s="6" t="n">
        <v>3</v>
      </c>
      <c r="FF7" s="0" t="s">
        <v>1050</v>
      </c>
      <c r="FG7" s="0"/>
      <c r="FH7" s="6" t="n">
        <v>3</v>
      </c>
      <c r="FI7" s="0" t="s">
        <v>1050</v>
      </c>
      <c r="FJ7" s="0"/>
      <c r="FK7" s="6" t="n">
        <v>3</v>
      </c>
      <c r="FL7" s="0" t="s">
        <v>1050</v>
      </c>
      <c r="FM7" s="0"/>
      <c r="FN7" s="6" t="s">
        <f>=Портфель!G59*Портфель!$Q$13</f>
      </c>
      <c r="FO7" s="0" t="s">
        <v>6</v>
      </c>
      <c r="FP7" s="0"/>
      <c r="FQ7" s="6" t="s">
        <f>=Портфель!G60*Портфель!$Q$13</f>
      </c>
      <c r="FR7" s="0" t="s">
        <v>6</v>
      </c>
      <c r="FS7" s="0"/>
      <c r="FT7" s="6" t="s">
        <f>=Портфель!G61*Портфель!$Q$13</f>
      </c>
      <c r="FU7" s="0" t="s">
        <v>6</v>
      </c>
      <c r="FV7" s="0"/>
      <c r="FW7" s="6" t="s">
        <f>=Портфель!G62*Портфель!$Q$13</f>
      </c>
      <c r="FX7" s="0" t="s">
        <v>6</v>
      </c>
      <c r="FY7" s="0"/>
      <c r="FZ7" s="6" t="s">
        <f>=Портфель!G63*Портфель!$Q$13</f>
      </c>
      <c r="GA7" s="0" t="s">
        <v>6</v>
      </c>
      <c r="GB7" s="0"/>
      <c r="GC7" s="6" t="s">
        <f>=Портфель!G64*Портфель!$Q$13</f>
      </c>
      <c r="GD7" s="0" t="s">
        <v>6</v>
      </c>
      <c r="GE7" s="0"/>
      <c r="GF7" s="6" t="s">
        <f>=Портфель!G65*Портфель!$Q$13</f>
      </c>
      <c r="GG7" s="0" t="s">
        <v>6</v>
      </c>
      <c r="GH7" s="0"/>
      <c r="GI7" s="6" t="s">
        <f>=Портфель!H66*Портфель!$Q$13</f>
      </c>
      <c r="GJ7" s="0" t="s">
        <v>7</v>
      </c>
      <c r="GK7" s="0"/>
      <c r="GL7" s="6" t="s">
        <f>=Портфель!G67*Портфель!$Q$13</f>
      </c>
      <c r="GM7" s="0" t="s">
        <v>6</v>
      </c>
      <c r="GN7" s="0"/>
      <c r="GO7" s="6" t="s">
        <f>=Портфель!G68*Портфель!$Q$13</f>
      </c>
      <c r="GP7" s="0" t="s">
        <v>6</v>
      </c>
      <c r="GQ7" s="0"/>
      <c r="GR7" s="6" t="s">
        <f>=Портфель!G69*Портфель!$Q$13</f>
      </c>
      <c r="GS7" s="0" t="s">
        <v>6</v>
      </c>
      <c r="GT7" s="0"/>
      <c r="GU7" s="6" t="s">
        <f>=Портфель!G70*Портфель!$Q$13</f>
      </c>
      <c r="GV7" s="0" t="s">
        <v>6</v>
      </c>
      <c r="GW7" s="0"/>
      <c r="GX7" s="6" t="s">
        <f>=Портфель!G71*Портфель!$Q$13</f>
      </c>
      <c r="GY7" s="0" t="s">
        <v>6</v>
      </c>
      <c r="GZ7" s="0"/>
      <c r="HA7" s="6" t="s">
        <f>=Портфель!G72*Портфель!$Q$13</f>
      </c>
      <c r="HB7" s="0" t="s">
        <v>6</v>
      </c>
      <c r="HC7" s="0"/>
      <c r="HD7" s="6" t="s">
        <f>=Портфель!G73*Портфель!$Q$13</f>
      </c>
      <c r="HE7" s="0" t="s">
        <v>6</v>
      </c>
      <c r="HF7" s="0"/>
      <c r="HG7" s="6" t="s">
        <f>=Портфель!G74*Портфель!$Q$13</f>
      </c>
      <c r="HH7" s="0" t="s">
        <v>6</v>
      </c>
      <c r="HI7" s="0"/>
      <c r="HJ7" s="6" t="s">
        <f>=Портфель!G75*Портфель!$Q$13</f>
      </c>
      <c r="HK7" s="0" t="s">
        <v>6</v>
      </c>
      <c r="HL7" s="0"/>
      <c r="HM7" s="6" t="s">
        <f>=Портфель!G76*Портфель!$Q$13</f>
      </c>
      <c r="HN7" s="0" t="s">
        <v>6</v>
      </c>
      <c r="HO7" s="0"/>
      <c r="HP7" s="6" t="s">
        <f>=Портфель!H77*Портфель!$Q$13</f>
      </c>
      <c r="HQ7" s="0" t="s">
        <v>7</v>
      </c>
      <c r="HR7" s="0"/>
      <c r="HS7" s="6" t="s">
        <f>=Портфель!H78*Портфель!$Q$13</f>
      </c>
      <c r="HT7" s="0" t="s">
        <v>7</v>
      </c>
      <c r="HU7" s="0"/>
      <c r="HV7" s="6" t="s">
        <f>=Портфель!H79*Портфель!$Q$13</f>
      </c>
      <c r="HW7" s="0" t="s">
        <v>7</v>
      </c>
      <c r="HX7" s="0"/>
      <c r="HY7" s="6" t="s">
        <f>=Портфель!H80*Портфель!$Q$13</f>
      </c>
      <c r="HZ7" s="0" t="s">
        <v>7</v>
      </c>
      <c r="IA7" s="0"/>
      <c r="IB7" s="6" t="s">
        <f>=Портфель!H81*Портфель!$Q$13</f>
      </c>
      <c r="IC7" s="0" t="s">
        <v>7</v>
      </c>
      <c r="ID7" s="0"/>
      <c r="IE7" s="6" t="s">
        <f>=Портфель!H82*Портфель!$Q$13</f>
      </c>
      <c r="IF7" s="0" t="s">
        <v>7</v>
      </c>
      <c r="IG7" s="0"/>
      <c r="IH7" s="6" t="s">
        <f>=Портфель!H83*Портфель!$Q$13</f>
      </c>
      <c r="II7" s="0" t="s">
        <v>7</v>
      </c>
      <c r="IJ7" s="0"/>
      <c r="IK7" s="6" t="s">
        <f>=Портфель!H84*Портфель!$Q$13</f>
      </c>
      <c r="IL7" s="0" t="s">
        <v>7</v>
      </c>
      <c r="IM7" s="0"/>
      <c r="IN7" s="6" t="s">
        <f>=Портфель!H85*Портфель!$Q$13</f>
      </c>
      <c r="IO7" s="0" t="s">
        <v>7</v>
      </c>
      <c r="IP7" s="0"/>
      <c r="IQ7" s="6" t="s">
        <f>=Портфель!H86*Портфель!$Q$13</f>
      </c>
      <c r="IR7" s="0" t="s">
        <v>7</v>
      </c>
      <c r="IS7" s="0"/>
      <c r="IT7" s="6" t="s">
        <f>=Портфель!H87*Портфель!$Q$13</f>
      </c>
      <c r="IU7" s="0" t="s">
        <v>7</v>
      </c>
      <c r="IV7" s="0"/>
      <c r="IW7" s="6" t="s">
        <f>=Портфель!H88*Портфель!$Q$13</f>
      </c>
      <c r="IX7" s="0" t="s">
        <v>7</v>
      </c>
      <c r="IY7" s="0"/>
      <c r="IZ7" s="6" t="s">
        <f>=Портфель!H89*Портфель!$Q$13</f>
      </c>
      <c r="JA7" s="0" t="s">
        <v>7</v>
      </c>
      <c r="JB7" s="0"/>
      <c r="JC7" s="6" t="s">
        <f>=Портфель!H90*Портфель!$Q$13</f>
      </c>
      <c r="JD7" s="0" t="s">
        <v>7</v>
      </c>
      <c r="JE7" s="0"/>
      <c r="JF7" s="6" t="s">
        <f>=Портфель!H91*Портфель!$Q$13</f>
      </c>
      <c r="JG7" s="0" t="s">
        <v>7</v>
      </c>
      <c r="JH7" s="0"/>
      <c r="JI7" s="6" t="s">
        <f>=Портфель!H92*Портфель!$Q$13</f>
      </c>
      <c r="JJ7" s="0" t="s">
        <v>7</v>
      </c>
      <c r="JK7" s="0"/>
      <c r="JL7" s="6" t="s">
        <f>=Портфель!H93*Портфель!$Q$13</f>
      </c>
      <c r="JM7" s="0" t="s">
        <v>7</v>
      </c>
      <c r="JN7" s="0"/>
      <c r="JO7" s="6" t="s">
        <f>=Портфель!H94*Портфель!$Q$13</f>
      </c>
      <c r="JP7" s="0" t="s">
        <v>7</v>
      </c>
      <c r="JQ7" s="0"/>
      <c r="JR7" s="6" t="s">
        <f>=Портфель!H95*Портфель!$Q$13</f>
      </c>
      <c r="JS7" s="0" t="s">
        <v>7</v>
      </c>
      <c r="JT7" s="0"/>
      <c r="JU7" s="6" t="s">
        <f>=Портфель!H96*Портфель!$Q$13</f>
      </c>
      <c r="JV7" s="0" t="s">
        <v>7</v>
      </c>
      <c r="JW7" s="0"/>
      <c r="JX7" s="6" t="s">
        <f>=Портфель!H97*Портфель!$Q$13</f>
      </c>
      <c r="JY7" s="0" t="s">
        <v>7</v>
      </c>
      <c r="JZ7" s="0"/>
      <c r="KA7" s="6" t="s">
        <f>=Портфель!H98*Портфель!$Q$13</f>
      </c>
      <c r="KB7" s="0" t="s">
        <v>7</v>
      </c>
      <c r="KC7" s="0"/>
      <c r="KD7" s="6" t="s">
        <f>=Портфель!H99*Портфель!$Q$13</f>
      </c>
      <c r="KE7" s="0" t="s">
        <v>7</v>
      </c>
      <c r="KF7" s="0"/>
      <c r="KG7" s="6" t="s">
        <f>=Портфель!H100*Портфель!$Q$13</f>
      </c>
      <c r="KH7" s="0" t="s">
        <v>7</v>
      </c>
      <c r="KI7" s="0"/>
      <c r="KJ7" s="6" t="s">
        <f>=Портфель!H101*Портфель!$Q$13</f>
      </c>
      <c r="KK7" s="0" t="s">
        <v>7</v>
      </c>
      <c r="KL7" s="0"/>
      <c r="KM7" s="6" t="s">
        <f>=Портфель!H102*Портфель!$Q$13</f>
      </c>
      <c r="KN7" s="0" t="s">
        <v>7</v>
      </c>
      <c r="KO7" s="0"/>
      <c r="KP7" s="6" t="s">
        <f>=Портфель!H103*Портфель!$Q$13</f>
      </c>
      <c r="KQ7" s="0" t="s">
        <v>7</v>
      </c>
      <c r="KR7" s="0"/>
      <c r="KS7" s="6" t="s">
        <f>=Портфель!H104*Портфель!$Q$13</f>
      </c>
      <c r="KT7" s="0" t="s">
        <v>7</v>
      </c>
      <c r="KU7" s="0"/>
      <c r="KV7" s="6" t="s">
        <f>=Портфель!H105*Портфель!$Q$13</f>
      </c>
      <c r="KW7" s="0" t="s">
        <v>7</v>
      </c>
      <c r="KX7" s="0"/>
      <c r="KY7" s="6" t="s">
        <f>=Портфель!H106*Портфель!$Q$13</f>
      </c>
      <c r="KZ7" s="0" t="s">
        <v>7</v>
      </c>
      <c r="LA7" s="0"/>
      <c r="LB7" s="6" t="s">
        <f>=Портфель!H107*Портфель!$Q$13</f>
      </c>
      <c r="LC7" s="0" t="s">
        <v>7</v>
      </c>
      <c r="LD7" s="0"/>
      <c r="LE7" s="6" t="s">
        <f>=Портфель!H108*Портфель!$Q$13</f>
      </c>
      <c r="LF7" s="0" t="s">
        <v>7</v>
      </c>
      <c r="LG7" s="0"/>
      <c r="LH7" s="6" t="s">
        <f>=Портфель!H109*Портфель!$Q$13</f>
      </c>
      <c r="LI7" s="0" t="s">
        <v>7</v>
      </c>
      <c r="LJ7" s="0"/>
      <c r="LK7" s="6" t="s">
        <f>=Портфель!H110*Портфель!$Q$13</f>
      </c>
      <c r="LL7" s="0" t="s">
        <v>7</v>
      </c>
      <c r="LM7" s="0"/>
      <c r="LN7" s="6" t="s">
        <f>=Портфель!H111*Портфель!$Q$13</f>
      </c>
      <c r="LO7" s="0" t="s">
        <v>7</v>
      </c>
      <c r="LP7" s="0"/>
      <c r="LQ7" s="6" t="s">
        <f>=Портфель!H112*Портфель!$Q$13</f>
      </c>
      <c r="LR7" s="0" t="s">
        <v>7</v>
      </c>
    </row>
    <row collapsed="false" customFormat="false" customHeight="false" hidden="false" ht="12.1" outlineLevel="0" r="8">
      <c r="A8" s="11" t="n">
        <v>45219</v>
      </c>
      <c r="B8" s="6" t="n">
        <v>10</v>
      </c>
      <c r="C8" s="6" t="n">
        <v>2680.72</v>
      </c>
      <c r="D8" s="0"/>
      <c r="E8" s="5" t="s">
        <f>=E7*(ABS(E6)-ABS(E5))</f>
      </c>
      <c r="F8" s="0" t="s">
        <v>1051</v>
      </c>
      <c r="G8" s="0"/>
      <c r="H8" s="0"/>
      <c r="I8" s="0"/>
      <c r="J8" s="0"/>
      <c r="K8" s="6" t="n">
        <v>3507.4</v>
      </c>
      <c r="L8" s="0" t="s">
        <v>1049</v>
      </c>
      <c r="M8" s="0"/>
      <c r="N8" s="6" t="n">
        <v>35</v>
      </c>
      <c r="O8" s="0" t="s">
        <v>1050</v>
      </c>
      <c r="P8" s="0"/>
      <c r="Q8" s="5" t="s">
        <f>=SUM(R2:R7)/SUM(Q2:Q7)</f>
      </c>
      <c r="R8" s="0" t="s">
        <v>11</v>
      </c>
      <c r="S8" s="0"/>
      <c r="T8" s="5" t="s">
        <f>=T7*(ABS(T6)-ABS(T5))</f>
      </c>
      <c r="U8" s="0" t="s">
        <v>1051</v>
      </c>
      <c r="V8" s="0"/>
      <c r="W8" s="6" t="n">
        <v>542.2</v>
      </c>
      <c r="X8" s="0" t="s">
        <v>1049</v>
      </c>
      <c r="Y8" s="11" t="n">
        <v>45324</v>
      </c>
      <c r="Z8" s="6" t="n">
        <v>100</v>
      </c>
      <c r="AA8" s="6" t="n">
        <v>406.52</v>
      </c>
      <c r="AB8" s="0"/>
      <c r="AC8" s="0"/>
      <c r="AD8" s="0"/>
      <c r="AE8" s="0"/>
      <c r="AF8" s="6" t="n">
        <v>458.3</v>
      </c>
      <c r="AG8" s="0" t="s">
        <v>1049</v>
      </c>
      <c r="AH8" s="11" t="n">
        <v>45356</v>
      </c>
      <c r="AI8" s="6" t="n">
        <v>4</v>
      </c>
      <c r="AJ8" s="6" t="n">
        <v>475.72</v>
      </c>
      <c r="AK8" s="0"/>
      <c r="AL8" s="0"/>
      <c r="AM8" s="0"/>
      <c r="AN8" s="0"/>
      <c r="AO8" s="0"/>
      <c r="AP8" s="0"/>
      <c r="AQ8" s="0"/>
      <c r="AR8" s="5" t="s">
        <f>=SUM(AS2:AS7)/SUM(AR2:AR7)</f>
      </c>
      <c r="AS8" s="0" t="s">
        <v>11</v>
      </c>
      <c r="AT8" s="0"/>
      <c r="AU8" s="6" t="n">
        <v>64.08</v>
      </c>
      <c r="AV8" s="0" t="s">
        <v>1049</v>
      </c>
      <c r="AW8" s="0"/>
      <c r="AX8" s="0"/>
      <c r="AY8" s="0"/>
      <c r="AZ8" s="0"/>
      <c r="BA8" s="0"/>
      <c r="BB8" s="0"/>
      <c r="BC8" s="0"/>
      <c r="BD8" s="6" t="n">
        <v>400</v>
      </c>
      <c r="BE8" s="0" t="s">
        <v>1050</v>
      </c>
      <c r="BF8" s="0"/>
      <c r="BG8" s="0"/>
      <c r="BH8" s="0"/>
      <c r="BI8" s="0"/>
      <c r="BJ8" s="0"/>
      <c r="BK8" s="0"/>
      <c r="BL8" s="0"/>
      <c r="BM8" s="0"/>
      <c r="BN8" s="0"/>
      <c r="BO8" s="0"/>
      <c r="BP8" s="5" t="s">
        <f>=BP7*(ABS(BP6)-ABS(BP5))</f>
      </c>
      <c r="BQ8" s="0" t="s">
        <v>1051</v>
      </c>
      <c r="BR8" s="0"/>
      <c r="BS8" s="0"/>
      <c r="BT8" s="0"/>
      <c r="BU8" s="0"/>
      <c r="BV8" s="0"/>
      <c r="BW8" s="0"/>
      <c r="BX8" s="11" t="n">
        <v>45085</v>
      </c>
      <c r="BY8" s="6" t="n">
        <v>2</v>
      </c>
      <c r="BZ8" s="6" t="n">
        <v>1449.34</v>
      </c>
      <c r="CA8" s="11" t="n">
        <v>45303</v>
      </c>
      <c r="CB8" s="6" t="n">
        <v>1</v>
      </c>
      <c r="CC8" s="6" t="n">
        <v>1079.95</v>
      </c>
      <c r="CD8" s="11" t="n">
        <v>45447</v>
      </c>
      <c r="CE8" s="6" t="n">
        <v>1</v>
      </c>
      <c r="CF8" s="6" t="n">
        <v>709.44</v>
      </c>
      <c r="CG8" s="11" t="n">
        <v>45104</v>
      </c>
      <c r="CH8" s="6" t="n">
        <v>1</v>
      </c>
      <c r="CI8" s="6" t="n">
        <v>702.08</v>
      </c>
      <c r="CJ8" s="11" t="n">
        <v>45776</v>
      </c>
      <c r="CK8" s="6" t="n">
        <v>1</v>
      </c>
      <c r="CL8" s="6" t="n">
        <v>940.63</v>
      </c>
      <c r="CM8" s="11" t="n">
        <v>45714</v>
      </c>
      <c r="CN8" s="6" t="n">
        <v>1</v>
      </c>
      <c r="CO8" s="6" t="n">
        <v>822.2</v>
      </c>
      <c r="CP8" s="11" t="n">
        <v>45184</v>
      </c>
      <c r="CQ8" s="6" t="n">
        <v>1</v>
      </c>
      <c r="CR8" s="6" t="n">
        <v>737.64</v>
      </c>
      <c r="CS8" s="11" t="n">
        <v>45203</v>
      </c>
      <c r="CT8" s="6" t="n">
        <v>2</v>
      </c>
      <c r="CU8" s="6" t="n">
        <v>1458.68</v>
      </c>
      <c r="CV8" s="11" t="n">
        <v>45427</v>
      </c>
      <c r="CW8" s="6" t="n">
        <v>1</v>
      </c>
      <c r="CX8" s="6" t="n">
        <v>1101.95</v>
      </c>
      <c r="CY8" s="11" t="n">
        <v>45154</v>
      </c>
      <c r="CZ8" s="6" t="n">
        <v>1</v>
      </c>
      <c r="DA8" s="6" t="n">
        <v>720.42</v>
      </c>
      <c r="DB8" s="11" t="n">
        <v>45776</v>
      </c>
      <c r="DC8" s="6" t="n">
        <v>1</v>
      </c>
      <c r="DD8" s="6" t="n">
        <v>924.95</v>
      </c>
      <c r="DE8" s="11" t="n">
        <v>45506</v>
      </c>
      <c r="DF8" s="6" t="n">
        <v>1</v>
      </c>
      <c r="DG8" s="6" t="n">
        <v>731.87</v>
      </c>
      <c r="DH8" s="11" t="n">
        <v>45869</v>
      </c>
      <c r="DI8" s="6" t="n">
        <v>1</v>
      </c>
      <c r="DJ8" s="6" t="n">
        <v>945.94</v>
      </c>
      <c r="DK8" s="11" t="n">
        <v>45399</v>
      </c>
      <c r="DL8" s="6" t="n">
        <v>1</v>
      </c>
      <c r="DM8" s="6" t="n">
        <v>743.88</v>
      </c>
      <c r="DN8" s="11" t="n">
        <v>45387</v>
      </c>
      <c r="DO8" s="6" t="n">
        <v>1</v>
      </c>
      <c r="DP8" s="6" t="n">
        <v>625.06</v>
      </c>
      <c r="DQ8" s="11" t="n">
        <v>45506</v>
      </c>
      <c r="DR8" s="6" t="n">
        <v>1</v>
      </c>
      <c r="DS8" s="6" t="n">
        <v>925.1</v>
      </c>
      <c r="DT8" s="11" t="n">
        <v>45560</v>
      </c>
      <c r="DU8" s="6" t="n">
        <v>1</v>
      </c>
      <c r="DV8" s="6" t="n">
        <v>681.79</v>
      </c>
      <c r="DW8" s="11" t="n">
        <v>45184</v>
      </c>
      <c r="DX8" s="6" t="n">
        <v>1</v>
      </c>
      <c r="DY8" s="6" t="n">
        <v>739.35</v>
      </c>
      <c r="DZ8" s="0"/>
      <c r="EA8" s="6" t="n">
        <v>73.248</v>
      </c>
      <c r="EB8" s="0" t="s">
        <v>1049</v>
      </c>
      <c r="EC8" s="0"/>
      <c r="ED8" s="6" t="n">
        <v>103.463</v>
      </c>
      <c r="EE8" s="0" t="s">
        <v>1049</v>
      </c>
      <c r="EF8" s="0"/>
      <c r="EG8" s="5" t="s">
        <f>=SUM(EH2:EH7)/SUM(EG2:EG7)</f>
      </c>
      <c r="EH8" s="0" t="s">
        <v>11</v>
      </c>
      <c r="EI8" s="0"/>
      <c r="EJ8" s="5" t="s">
        <f>=SUM(EK2:EK7)/SUM(EJ2:EJ7)</f>
      </c>
      <c r="EK8" s="0" t="s">
        <v>11</v>
      </c>
      <c r="EL8" s="0"/>
      <c r="EM8" s="6" t="n">
        <v>93.2</v>
      </c>
      <c r="EN8" s="0" t="s">
        <v>1049</v>
      </c>
      <c r="EO8" s="0"/>
      <c r="EP8" s="5" t="s">
        <f>=SUM(EQ2:EQ7)/SUM(EP2:EP7)</f>
      </c>
      <c r="EQ8" s="0" t="s">
        <v>11</v>
      </c>
      <c r="ER8" s="0"/>
      <c r="ES8" s="6" t="n">
        <v>4</v>
      </c>
      <c r="ET8" s="0" t="s">
        <v>1050</v>
      </c>
      <c r="EU8" s="0"/>
      <c r="EV8" s="6" t="n">
        <v>4</v>
      </c>
      <c r="EW8" s="0" t="s">
        <v>1050</v>
      </c>
      <c r="EX8" s="0"/>
      <c r="EY8" s="6" t="n">
        <v>4</v>
      </c>
      <c r="EZ8" s="0" t="s">
        <v>1050</v>
      </c>
      <c r="FA8" s="0"/>
      <c r="FB8" s="5" t="s">
        <f>=FB5*(FB6*FB4/100-FB3+FB7)</f>
      </c>
      <c r="FC8" s="0" t="s">
        <v>1051</v>
      </c>
      <c r="FD8" s="0"/>
      <c r="FE8" s="6" t="s">
        <f>=Портфель!G56*Портфель!$Q$13</f>
      </c>
      <c r="FF8" s="0" t="s">
        <v>6</v>
      </c>
      <c r="FG8" s="0"/>
      <c r="FH8" s="6" t="s">
        <f>=Портфель!G57*Портфель!$Q$13</f>
      </c>
      <c r="FI8" s="0" t="s">
        <v>6</v>
      </c>
      <c r="FJ8" s="0"/>
      <c r="FK8" s="6" t="s">
        <f>=Портфель!G58*Портфель!$Q$13</f>
      </c>
      <c r="FL8" s="0" t="s">
        <v>6</v>
      </c>
      <c r="FM8" s="0"/>
      <c r="FN8" s="6" t="s">
        <f>=Портфель!H59*Портфель!$Q$13</f>
      </c>
      <c r="FO8" s="0" t="s">
        <v>7</v>
      </c>
      <c r="FP8" s="0"/>
      <c r="FQ8" s="6" t="s">
        <f>=Портфель!H60*Портфель!$Q$13</f>
      </c>
      <c r="FR8" s="0" t="s">
        <v>7</v>
      </c>
      <c r="FS8" s="0"/>
      <c r="FT8" s="6" t="s">
        <f>=Портфель!H61*Портфель!$Q$13</f>
      </c>
      <c r="FU8" s="0" t="s">
        <v>7</v>
      </c>
      <c r="FV8" s="0"/>
      <c r="FW8" s="6" t="s">
        <f>=Портфель!H62*Портфель!$Q$13</f>
      </c>
      <c r="FX8" s="0" t="s">
        <v>7</v>
      </c>
      <c r="FY8" s="0"/>
      <c r="FZ8" s="6" t="s">
        <f>=Портфель!H63*Портфель!$Q$13</f>
      </c>
      <c r="GA8" s="0" t="s">
        <v>7</v>
      </c>
      <c r="GB8" s="0"/>
      <c r="GC8" s="6" t="s">
        <f>=Портфель!H64*Портфель!$Q$13</f>
      </c>
      <c r="GD8" s="0" t="s">
        <v>7</v>
      </c>
      <c r="GE8" s="0"/>
      <c r="GF8" s="6" t="s">
        <f>=Портфель!H65*Портфель!$Q$13</f>
      </c>
      <c r="GG8" s="0" t="s">
        <v>7</v>
      </c>
      <c r="GH8" s="0"/>
      <c r="GI8" s="5" t="s">
        <f>=GI5*(GI6*GI4/100-GI3+GI7)</f>
      </c>
      <c r="GJ8" s="0" t="s">
        <v>1051</v>
      </c>
      <c r="GK8" s="0"/>
      <c r="GL8" s="6" t="s">
        <f>=Портфель!H67*Портфель!$Q$13</f>
      </c>
      <c r="GM8" s="0" t="s">
        <v>7</v>
      </c>
      <c r="GN8" s="0"/>
      <c r="GO8" s="6" t="s">
        <f>=Портфель!H68*Портфель!$Q$13</f>
      </c>
      <c r="GP8" s="0" t="s">
        <v>7</v>
      </c>
      <c r="GQ8" s="0"/>
      <c r="GR8" s="6" t="s">
        <f>=Портфель!H69*Портфель!$Q$13</f>
      </c>
      <c r="GS8" s="0" t="s">
        <v>7</v>
      </c>
      <c r="GT8" s="0"/>
      <c r="GU8" s="6" t="s">
        <f>=Портфель!H70*Портфель!$Q$13</f>
      </c>
      <c r="GV8" s="0" t="s">
        <v>7</v>
      </c>
      <c r="GW8" s="0"/>
      <c r="GX8" s="6" t="s">
        <f>=Портфель!H71*Портфель!$Q$13</f>
      </c>
      <c r="GY8" s="0" t="s">
        <v>7</v>
      </c>
      <c r="GZ8" s="0"/>
      <c r="HA8" s="6" t="s">
        <f>=Портфель!H72*Портфель!$Q$13</f>
      </c>
      <c r="HB8" s="0" t="s">
        <v>7</v>
      </c>
      <c r="HC8" s="0"/>
      <c r="HD8" s="6" t="s">
        <f>=Портфель!H73*Портфель!$Q$13</f>
      </c>
      <c r="HE8" s="0" t="s">
        <v>7</v>
      </c>
      <c r="HF8" s="0"/>
      <c r="HG8" s="6" t="s">
        <f>=Портфель!H74*Портфель!$Q$13</f>
      </c>
      <c r="HH8" s="0" t="s">
        <v>7</v>
      </c>
      <c r="HI8" s="0"/>
      <c r="HJ8" s="6" t="s">
        <f>=Портфель!H75*Портфель!$Q$13</f>
      </c>
      <c r="HK8" s="0" t="s">
        <v>7</v>
      </c>
      <c r="HL8" s="0"/>
      <c r="HM8" s="6" t="s">
        <f>=Портфель!H76*Портфель!$Q$13</f>
      </c>
      <c r="HN8" s="0" t="s">
        <v>7</v>
      </c>
      <c r="HO8" s="0"/>
      <c r="HP8" s="5" t="s">
        <f>=HP5*(HP6*HP4/100-HP3+HP7)</f>
      </c>
      <c r="HQ8" s="0" t="s">
        <v>1051</v>
      </c>
      <c r="HR8" s="0"/>
      <c r="HS8" s="5" t="s">
        <f>=HS5*(HS6*HS4/100-HS3+HS7)</f>
      </c>
      <c r="HT8" s="0" t="s">
        <v>1051</v>
      </c>
      <c r="HU8" s="0"/>
      <c r="HV8" s="5" t="s">
        <f>=HV5*(HV6*HV4/100-HV3+HV7)</f>
      </c>
      <c r="HW8" s="0" t="s">
        <v>1051</v>
      </c>
      <c r="HX8" s="0"/>
      <c r="HY8" s="5" t="s">
        <f>=HY5*(HY6*HY4/100-HY3+HY7)</f>
      </c>
      <c r="HZ8" s="0" t="s">
        <v>1051</v>
      </c>
      <c r="IA8" s="0"/>
      <c r="IB8" s="5" t="s">
        <f>=IB5*(IB6*IB4/100-IB3+IB7)</f>
      </c>
      <c r="IC8" s="0" t="s">
        <v>1051</v>
      </c>
      <c r="ID8" s="0"/>
      <c r="IE8" s="5" t="s">
        <f>=IE5*(IE6*IE4/100-IE3+IE7)</f>
      </c>
      <c r="IF8" s="0" t="s">
        <v>1051</v>
      </c>
      <c r="IG8" s="0"/>
      <c r="IH8" s="5" t="s">
        <f>=IH5*(IH6*IH4/100-IH3+IH7)</f>
      </c>
      <c r="II8" s="0" t="s">
        <v>1051</v>
      </c>
      <c r="IJ8" s="0"/>
      <c r="IK8" s="5" t="s">
        <f>=IK5*(IK6*IK4/100-IK3+IK7)</f>
      </c>
      <c r="IL8" s="0" t="s">
        <v>1051</v>
      </c>
      <c r="IM8" s="0"/>
      <c r="IN8" s="5" t="s">
        <f>=IN5*(IN6*IN4/100-IN3+IN7)</f>
      </c>
      <c r="IO8" s="0" t="s">
        <v>1051</v>
      </c>
      <c r="IP8" s="0"/>
      <c r="IQ8" s="5" t="s">
        <f>=IQ5*(IQ6*IQ4/100-IQ3+IQ7)</f>
      </c>
      <c r="IR8" s="0" t="s">
        <v>1051</v>
      </c>
      <c r="IS8" s="0"/>
      <c r="IT8" s="5" t="s">
        <f>=IT5*(IT6*IT4/100-IT3+IT7)</f>
      </c>
      <c r="IU8" s="0" t="s">
        <v>1051</v>
      </c>
      <c r="IV8" s="0"/>
      <c r="IW8" s="5" t="s">
        <f>=IW5*(IW6*IW4/100-IW3+IW7)</f>
      </c>
      <c r="IX8" s="0" t="s">
        <v>1051</v>
      </c>
      <c r="IY8" s="0"/>
      <c r="IZ8" s="5" t="s">
        <f>=IZ5*(IZ6*IZ4/100-IZ3+IZ7)</f>
      </c>
      <c r="JA8" s="0" t="s">
        <v>1051</v>
      </c>
      <c r="JB8" s="0"/>
      <c r="JC8" s="5" t="s">
        <f>=JC5*(JC6*JC4/100-JC3+JC7)</f>
      </c>
      <c r="JD8" s="0" t="s">
        <v>1051</v>
      </c>
      <c r="JE8" s="0"/>
      <c r="JF8" s="5" t="s">
        <f>=JF5*(JF6*JF4/100-JF3+JF7)</f>
      </c>
      <c r="JG8" s="0" t="s">
        <v>1051</v>
      </c>
      <c r="JH8" s="0"/>
      <c r="JI8" s="5" t="s">
        <f>=JI5*(JI6*JI4/100-JI3+JI7)</f>
      </c>
      <c r="JJ8" s="0" t="s">
        <v>1051</v>
      </c>
      <c r="JK8" s="0"/>
      <c r="JL8" s="5" t="s">
        <f>=JL5*(JL6*JL4/100-JL3+JL7)</f>
      </c>
      <c r="JM8" s="0" t="s">
        <v>1051</v>
      </c>
      <c r="JN8" s="0"/>
      <c r="JO8" s="5" t="s">
        <f>=JO5*(JO6*JO4/100-JO3+JO7)</f>
      </c>
      <c r="JP8" s="0" t="s">
        <v>1051</v>
      </c>
      <c r="JQ8" s="0"/>
      <c r="JR8" s="5" t="s">
        <f>=JR5*(JR6*JR4/100-JR3+JR7)</f>
      </c>
      <c r="JS8" s="0" t="s">
        <v>1051</v>
      </c>
      <c r="JT8" s="0"/>
      <c r="JU8" s="5" t="s">
        <f>=JU5*(JU6*JU4/100-JU3+JU7)</f>
      </c>
      <c r="JV8" s="0" t="s">
        <v>1051</v>
      </c>
      <c r="JW8" s="0"/>
      <c r="JX8" s="5" t="s">
        <f>=JX5*(JX6*JX4/100-JX3+JX7)</f>
      </c>
      <c r="JY8" s="0" t="s">
        <v>1051</v>
      </c>
      <c r="JZ8" s="0"/>
      <c r="KA8" s="5" t="s">
        <f>=KA5*(KA6*KA4/100-KA3+KA7)</f>
      </c>
      <c r="KB8" s="0" t="s">
        <v>1051</v>
      </c>
      <c r="KC8" s="0"/>
      <c r="KD8" s="5" t="s">
        <f>=KD5*(KD6*KD4/100-KD3+KD7)</f>
      </c>
      <c r="KE8" s="0" t="s">
        <v>1051</v>
      </c>
      <c r="KF8" s="0"/>
      <c r="KG8" s="5" t="s">
        <f>=KG5*(KG6*KG4/100-KG3+KG7)</f>
      </c>
      <c r="KH8" s="0" t="s">
        <v>1051</v>
      </c>
      <c r="KI8" s="0"/>
      <c r="KJ8" s="5" t="s">
        <f>=KJ5*(KJ6*KJ4/100-KJ3+KJ7)</f>
      </c>
      <c r="KK8" s="0" t="s">
        <v>1051</v>
      </c>
      <c r="KL8" s="0"/>
      <c r="KM8" s="5" t="s">
        <f>=KM5*(KM6*KM4/100-KM3+KM7)</f>
      </c>
      <c r="KN8" s="0" t="s">
        <v>1051</v>
      </c>
      <c r="KO8" s="0"/>
      <c r="KP8" s="5" t="s">
        <f>=KP5*(KP6*KP4/100-KP3+KP7)</f>
      </c>
      <c r="KQ8" s="0" t="s">
        <v>1051</v>
      </c>
      <c r="KR8" s="0"/>
      <c r="KS8" s="5" t="s">
        <f>=KS5*(KS6*KS4/100-KS3+KS7)</f>
      </c>
      <c r="KT8" s="0" t="s">
        <v>1051</v>
      </c>
      <c r="KU8" s="0"/>
      <c r="KV8" s="5" t="s">
        <f>=KV5*(KV6*KV4/100-KV3+KV7)</f>
      </c>
      <c r="KW8" s="0" t="s">
        <v>1051</v>
      </c>
      <c r="KX8" s="0"/>
      <c r="KY8" s="5" t="s">
        <f>=KY5*(KY6*KY4/100-KY3+KY7)</f>
      </c>
      <c r="KZ8" s="0" t="s">
        <v>1051</v>
      </c>
      <c r="LA8" s="0"/>
      <c r="LB8" s="5" t="s">
        <f>=LB5*(LB6*LB4/100-LB3+LB7)</f>
      </c>
      <c r="LC8" s="0" t="s">
        <v>1051</v>
      </c>
      <c r="LD8" s="0"/>
      <c r="LE8" s="5" t="s">
        <f>=LE5*(LE6*LE4/100-LE3+LE7)</f>
      </c>
      <c r="LF8" s="0" t="s">
        <v>1051</v>
      </c>
      <c r="LG8" s="0"/>
      <c r="LH8" s="5" t="s">
        <f>=LH5*(LH6*LH4/100-LH3+LH7)</f>
      </c>
      <c r="LI8" s="0" t="s">
        <v>1051</v>
      </c>
      <c r="LJ8" s="0"/>
      <c r="LK8" s="5" t="s">
        <f>=LK5*(LK6*LK4/100-LK3+LK7)</f>
      </c>
      <c r="LL8" s="0" t="s">
        <v>1051</v>
      </c>
      <c r="LM8" s="0"/>
      <c r="LN8" s="5" t="s">
        <f>=LN5*(LN6*LN4/100-LN3+LN7)</f>
      </c>
      <c r="LO8" s="0" t="s">
        <v>1051</v>
      </c>
      <c r="LP8" s="0"/>
      <c r="LQ8" s="5" t="s">
        <f>=LQ5*(LQ6*LQ4/100-LQ3+LQ7)</f>
      </c>
      <c r="LR8" s="0" t="s">
        <v>1051</v>
      </c>
    </row>
    <row collapsed="false" customFormat="false" customHeight="false" hidden="false" ht="12.1" outlineLevel="0" r="9">
      <c r="A9" s="11" t="n">
        <v>45244</v>
      </c>
      <c r="B9" s="6" t="n">
        <v>10</v>
      </c>
      <c r="C9" s="6" t="n">
        <v>2838.29</v>
      </c>
      <c r="D9" s="0"/>
      <c r="E9" s="0"/>
      <c r="F9" s="0"/>
      <c r="G9" s="0"/>
      <c r="H9" s="0"/>
      <c r="I9" s="0"/>
      <c r="J9" s="0"/>
      <c r="K9" s="6" t="n">
        <v>7</v>
      </c>
      <c r="L9" s="0" t="s">
        <v>1050</v>
      </c>
      <c r="M9" s="0"/>
      <c r="N9" s="5" t="s">
        <f>=N8*(ABS(N7)-ABS(N6))</f>
      </c>
      <c r="O9" s="0" t="s">
        <v>1051</v>
      </c>
      <c r="P9" s="0"/>
      <c r="Q9" s="6" t="n">
        <v>126.75</v>
      </c>
      <c r="R9" s="0" t="s">
        <v>1049</v>
      </c>
      <c r="S9" s="0"/>
      <c r="T9" s="0"/>
      <c r="U9" s="0"/>
      <c r="V9" s="0"/>
      <c r="W9" s="6" t="n">
        <v>10</v>
      </c>
      <c r="X9" s="0" t="s">
        <v>1050</v>
      </c>
      <c r="Y9" s="11" t="n">
        <v>45356</v>
      </c>
      <c r="Z9" s="6" t="n">
        <v>100</v>
      </c>
      <c r="AA9" s="6" t="n">
        <v>407.77</v>
      </c>
      <c r="AB9" s="0"/>
      <c r="AC9" s="0"/>
      <c r="AD9" s="0"/>
      <c r="AE9" s="0"/>
      <c r="AF9" s="6" t="n">
        <v>10</v>
      </c>
      <c r="AG9" s="0" t="s">
        <v>1050</v>
      </c>
      <c r="AH9" s="11" t="n">
        <v>45541</v>
      </c>
      <c r="AI9" s="6" t="n">
        <v>8</v>
      </c>
      <c r="AJ9" s="6" t="n">
        <v>698.97</v>
      </c>
      <c r="AK9" s="0"/>
      <c r="AL9" s="0"/>
      <c r="AM9" s="0"/>
      <c r="AN9" s="0"/>
      <c r="AO9" s="0"/>
      <c r="AP9" s="0"/>
      <c r="AQ9" s="0"/>
      <c r="AR9" s="6" t="n">
        <v>55.76</v>
      </c>
      <c r="AS9" s="0" t="s">
        <v>1049</v>
      </c>
      <c r="AT9" s="0"/>
      <c r="AU9" s="6" t="n">
        <v>50</v>
      </c>
      <c r="AV9" s="0" t="s">
        <v>1050</v>
      </c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1051</v>
      </c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11" t="n">
        <v>45104</v>
      </c>
      <c r="BY9" s="6" t="n">
        <v>2</v>
      </c>
      <c r="BZ9" s="6" t="n">
        <v>1381.18</v>
      </c>
      <c r="CA9" s="11" t="n">
        <v>45351</v>
      </c>
      <c r="CB9" s="6" t="n">
        <v>1</v>
      </c>
      <c r="CC9" s="6" t="n">
        <v>1097.76</v>
      </c>
      <c r="CD9" s="11" t="n">
        <v>45448</v>
      </c>
      <c r="CE9" s="6" t="n">
        <v>1</v>
      </c>
      <c r="CF9" s="6" t="n">
        <v>720.16</v>
      </c>
      <c r="CG9" s="11" t="n">
        <v>45184</v>
      </c>
      <c r="CH9" s="6" t="n">
        <v>1</v>
      </c>
      <c r="CI9" s="6" t="n">
        <v>702.08</v>
      </c>
      <c r="CJ9" s="11" t="n">
        <v>45869</v>
      </c>
      <c r="CK9" s="6" t="n">
        <v>1</v>
      </c>
      <c r="CL9" s="6" t="n">
        <v>949.24</v>
      </c>
      <c r="CM9" s="11" t="n">
        <v>45714</v>
      </c>
      <c r="CN9" s="6" t="n">
        <v>1</v>
      </c>
      <c r="CO9" s="6" t="n">
        <v>868.78</v>
      </c>
      <c r="CP9" s="11" t="n">
        <v>45184</v>
      </c>
      <c r="CQ9" s="6" t="n">
        <v>1</v>
      </c>
      <c r="CR9" s="6" t="n">
        <v>687.54</v>
      </c>
      <c r="CS9" s="11" t="n">
        <v>45240</v>
      </c>
      <c r="CT9" s="6" t="n">
        <v>2</v>
      </c>
      <c r="CU9" s="6" t="n">
        <v>1461.64</v>
      </c>
      <c r="CV9" s="11" t="n">
        <v>45447</v>
      </c>
      <c r="CW9" s="6" t="n">
        <v>1</v>
      </c>
      <c r="CX9" s="6" t="n">
        <v>1090.65</v>
      </c>
      <c r="CY9" s="11" t="n">
        <v>45184</v>
      </c>
      <c r="CZ9" s="6" t="n">
        <v>1</v>
      </c>
      <c r="DA9" s="6" t="n">
        <v>720.42</v>
      </c>
      <c r="DB9" s="11" t="n">
        <v>45805</v>
      </c>
      <c r="DC9" s="6" t="n">
        <v>1</v>
      </c>
      <c r="DD9" s="6" t="n">
        <v>931.79</v>
      </c>
      <c r="DE9" s="11" t="n">
        <v>45566</v>
      </c>
      <c r="DF9" s="6" t="n">
        <v>1</v>
      </c>
      <c r="DG9" s="6" t="n">
        <v>732.37</v>
      </c>
      <c r="DH9" s="11" t="n">
        <v>45876</v>
      </c>
      <c r="DI9" s="6" t="n">
        <v>1</v>
      </c>
      <c r="DJ9" s="6" t="n">
        <v>945.73</v>
      </c>
      <c r="DK9" s="11" t="n">
        <v>45447</v>
      </c>
      <c r="DL9" s="6" t="n">
        <v>1</v>
      </c>
      <c r="DM9" s="6" t="n">
        <v>736.18</v>
      </c>
      <c r="DN9" s="11" t="n">
        <v>45447</v>
      </c>
      <c r="DO9" s="6" t="n">
        <v>1</v>
      </c>
      <c r="DP9" s="6" t="n">
        <v>693.52</v>
      </c>
      <c r="DQ9" s="11" t="n">
        <v>45560</v>
      </c>
      <c r="DR9" s="6" t="n">
        <v>1</v>
      </c>
      <c r="DS9" s="6" t="n">
        <v>931.97</v>
      </c>
      <c r="DT9" s="11" t="n">
        <v>45566</v>
      </c>
      <c r="DU9" s="6" t="n">
        <v>1</v>
      </c>
      <c r="DV9" s="6" t="n">
        <v>765.95</v>
      </c>
      <c r="DW9" s="11" t="n">
        <v>45240</v>
      </c>
      <c r="DX9" s="6" t="n">
        <v>1</v>
      </c>
      <c r="DY9" s="6" t="n">
        <v>707.93</v>
      </c>
      <c r="DZ9" s="0"/>
      <c r="EA9" s="6" t="n">
        <v>6</v>
      </c>
      <c r="EB9" s="0" t="s">
        <v>1050</v>
      </c>
      <c r="EC9" s="0"/>
      <c r="ED9" s="6" t="n">
        <v>5</v>
      </c>
      <c r="EE9" s="0" t="s">
        <v>1050</v>
      </c>
      <c r="EF9" s="0"/>
      <c r="EG9" s="6" t="n">
        <v>87.646</v>
      </c>
      <c r="EH9" s="0" t="s">
        <v>1049</v>
      </c>
      <c r="EI9" s="0"/>
      <c r="EJ9" s="6" t="n">
        <v>87.201</v>
      </c>
      <c r="EK9" s="0" t="s">
        <v>1049</v>
      </c>
      <c r="EL9" s="0"/>
      <c r="EM9" s="6" t="n">
        <v>5</v>
      </c>
      <c r="EN9" s="0" t="s">
        <v>1050</v>
      </c>
      <c r="EO9" s="0"/>
      <c r="EP9" s="6" t="n">
        <v>74.25</v>
      </c>
      <c r="EQ9" s="0" t="s">
        <v>1049</v>
      </c>
      <c r="ER9" s="0"/>
      <c r="ES9" s="6" t="s">
        <f>=Портфель!G52*Портфель!$Q$13</f>
      </c>
      <c r="ET9" s="0" t="s">
        <v>6</v>
      </c>
      <c r="EU9" s="0"/>
      <c r="EV9" s="6" t="s">
        <f>=Портфель!G53*Портфель!$Q$13</f>
      </c>
      <c r="EW9" s="0" t="s">
        <v>6</v>
      </c>
      <c r="EX9" s="0"/>
      <c r="EY9" s="6" t="s">
        <f>=Портфель!G54*Портфель!$Q$13</f>
      </c>
      <c r="EZ9" s="0" t="s">
        <v>6</v>
      </c>
      <c r="FA9" s="0"/>
      <c r="FB9" s="0"/>
      <c r="FC9" s="0"/>
      <c r="FD9" s="0"/>
      <c r="FE9" s="6" t="s">
        <f>=Портфель!H56*Портфель!$Q$13</f>
      </c>
      <c r="FF9" s="0" t="s">
        <v>7</v>
      </c>
      <c r="FG9" s="0"/>
      <c r="FH9" s="6" t="s">
        <f>=Портфель!H57*Портфель!$Q$13</f>
      </c>
      <c r="FI9" s="0" t="s">
        <v>7</v>
      </c>
      <c r="FJ9" s="0"/>
      <c r="FK9" s="6" t="s">
        <f>=Портфель!H58*Портфель!$Q$13</f>
      </c>
      <c r="FL9" s="0" t="s">
        <v>7</v>
      </c>
      <c r="FM9" s="0"/>
      <c r="FN9" s="5" t="s">
        <f>=FN6*(FN7*FN5/100-FN4+FN8)</f>
      </c>
      <c r="FO9" s="0" t="s">
        <v>1051</v>
      </c>
      <c r="FP9" s="0"/>
      <c r="FQ9" s="5" t="s">
        <f>=FQ6*(FQ7*FQ5/100-FQ4+FQ8)</f>
      </c>
      <c r="FR9" s="0" t="s">
        <v>1051</v>
      </c>
      <c r="FS9" s="0"/>
      <c r="FT9" s="5" t="s">
        <f>=FT6*(FT7*FT5/100-FT4+FT8)</f>
      </c>
      <c r="FU9" s="0" t="s">
        <v>1051</v>
      </c>
      <c r="FV9" s="0"/>
      <c r="FW9" s="5" t="s">
        <f>=FW6*(FW7*FW5/100-FW4+FW8)</f>
      </c>
      <c r="FX9" s="0" t="s">
        <v>1051</v>
      </c>
      <c r="FY9" s="0"/>
      <c r="FZ9" s="5" t="s">
        <f>=FZ6*(FZ7*FZ5/100-FZ4+FZ8)</f>
      </c>
      <c r="GA9" s="0" t="s">
        <v>1051</v>
      </c>
      <c r="GB9" s="0"/>
      <c r="GC9" s="5" t="s">
        <f>=GC6*(GC7*GC5/100-GC4+GC8)</f>
      </c>
      <c r="GD9" s="0" t="s">
        <v>1051</v>
      </c>
      <c r="GE9" s="0"/>
      <c r="GF9" s="5" t="s">
        <f>=GF6*(GF7*GF5/100-GF4+GF8)</f>
      </c>
      <c r="GG9" s="0" t="s">
        <v>1051</v>
      </c>
      <c r="GH9" s="0"/>
      <c r="GI9" s="0"/>
      <c r="GJ9" s="0"/>
      <c r="GK9" s="0"/>
      <c r="GL9" s="5" t="s">
        <f>=GL6*(GL7*GL5/100-GL4+GL8)</f>
      </c>
      <c r="GM9" s="0" t="s">
        <v>1051</v>
      </c>
      <c r="GN9" s="0"/>
      <c r="GO9" s="5" t="s">
        <f>=GO6*(GO7*GO5/100-GO4+GO8)</f>
      </c>
      <c r="GP9" s="0" t="s">
        <v>1051</v>
      </c>
      <c r="GQ9" s="0"/>
      <c r="GR9" s="5" t="s">
        <f>=GR6*(GR7*GR5/100-GR4+GR8)</f>
      </c>
      <c r="GS9" s="0" t="s">
        <v>1051</v>
      </c>
      <c r="GT9" s="0"/>
      <c r="GU9" s="5" t="s">
        <f>=GU6*(GU7*GU5/100-GU4+GU8)</f>
      </c>
      <c r="GV9" s="0" t="s">
        <v>1051</v>
      </c>
      <c r="GW9" s="0"/>
      <c r="GX9" s="5" t="s">
        <f>=GX6*(GX7*GX5/100-GX4+GX8)</f>
      </c>
      <c r="GY9" s="0" t="s">
        <v>1051</v>
      </c>
      <c r="GZ9" s="0"/>
      <c r="HA9" s="5" t="s">
        <f>=HA6*(HA7*HA5/100-HA4+HA8)</f>
      </c>
      <c r="HB9" s="0" t="s">
        <v>1051</v>
      </c>
      <c r="HC9" s="0"/>
      <c r="HD9" s="5" t="s">
        <f>=HD6*(HD7*HD5/100-HD4+HD8)</f>
      </c>
      <c r="HE9" s="0" t="s">
        <v>1051</v>
      </c>
      <c r="HF9" s="0"/>
      <c r="HG9" s="5" t="s">
        <f>=HG6*(HG7*HG5/100-HG4+HG8)</f>
      </c>
      <c r="HH9" s="0" t="s">
        <v>1051</v>
      </c>
      <c r="HI9" s="0"/>
      <c r="HJ9" s="5" t="s">
        <f>=HJ6*(HJ7*HJ5/100-HJ4+HJ8)</f>
      </c>
      <c r="HK9" s="0" t="s">
        <v>1051</v>
      </c>
      <c r="HL9" s="0"/>
      <c r="HM9" s="5" t="s">
        <f>=HM6*(HM7*HM5/100-HM4+HM8)</f>
      </c>
      <c r="HN9" s="0" t="s">
        <v>1051</v>
      </c>
    </row>
    <row collapsed="false" customFormat="false" customHeight="false" hidden="false" ht="12.1" outlineLevel="0" r="10">
      <c r="A10" s="11" t="n">
        <v>45267</v>
      </c>
      <c r="B10" s="6" t="n">
        <v>10</v>
      </c>
      <c r="C10" s="6" t="n">
        <v>2687.84</v>
      </c>
      <c r="D10" s="0"/>
      <c r="E10" s="0"/>
      <c r="F10" s="0"/>
      <c r="G10" s="0"/>
      <c r="H10" s="0"/>
      <c r="I10" s="0"/>
      <c r="J10" s="0"/>
      <c r="K10" s="5" t="s">
        <f>=K9*(ABS(K8)-ABS(K7))</f>
      </c>
      <c r="L10" s="0" t="s">
        <v>1051</v>
      </c>
      <c r="M10" s="0"/>
      <c r="N10" s="0"/>
      <c r="O10" s="0"/>
      <c r="P10" s="0"/>
      <c r="Q10" s="6" t="n">
        <v>60</v>
      </c>
      <c r="R10" s="0" t="s">
        <v>1050</v>
      </c>
      <c r="S10" s="0"/>
      <c r="T10" s="0"/>
      <c r="U10" s="0"/>
      <c r="V10" s="0"/>
      <c r="W10" s="5" t="s">
        <f>=W9*(ABS(W8)-ABS(W7))</f>
      </c>
      <c r="X10" s="0" t="s">
        <v>1051</v>
      </c>
      <c r="Y10" s="11" t="n">
        <v>45506</v>
      </c>
      <c r="Z10" s="6" t="n">
        <v>100</v>
      </c>
      <c r="AA10" s="6" t="n">
        <v>380.24</v>
      </c>
      <c r="AB10" s="0"/>
      <c r="AC10" s="0"/>
      <c r="AD10" s="0"/>
      <c r="AE10" s="0"/>
      <c r="AF10" s="5" t="s">
        <f>=AF9*(ABS(AF8)-ABS(AF7))</f>
      </c>
      <c r="AG10" s="0" t="s">
        <v>1051</v>
      </c>
      <c r="AH10" s="11" t="n">
        <v>45729</v>
      </c>
      <c r="AI10" s="6" t="n">
        <v>20</v>
      </c>
      <c r="AJ10" s="6" t="n">
        <v>1784.74</v>
      </c>
      <c r="AK10" s="0"/>
      <c r="AL10" s="0"/>
      <c r="AM10" s="0"/>
      <c r="AN10" s="0"/>
      <c r="AO10" s="0"/>
      <c r="AP10" s="0"/>
      <c r="AQ10" s="0"/>
      <c r="AR10" s="6" t="n">
        <v>60</v>
      </c>
      <c r="AS10" s="0" t="s">
        <v>1050</v>
      </c>
      <c r="AT10" s="0"/>
      <c r="AU10" s="5" t="s">
        <f>=AU9*(ABS(AU8)-ABS(AU7))</f>
      </c>
      <c r="AV10" s="0" t="s">
        <v>1051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11" t="n">
        <v>45114</v>
      </c>
      <c r="BY10" s="6" t="n">
        <v>1</v>
      </c>
      <c r="BZ10" s="6" t="n">
        <v>676.34</v>
      </c>
      <c r="CA10" s="11" t="n">
        <v>45356</v>
      </c>
      <c r="CB10" s="6" t="n">
        <v>1</v>
      </c>
      <c r="CC10" s="6" t="n">
        <v>1100.37</v>
      </c>
      <c r="CD10" s="11" t="n">
        <v>45506</v>
      </c>
      <c r="CE10" s="6" t="n">
        <v>1</v>
      </c>
      <c r="CF10" s="6" t="n">
        <v>732.56</v>
      </c>
      <c r="CG10" s="11" t="n">
        <v>45184</v>
      </c>
      <c r="CH10" s="6" t="n">
        <v>1</v>
      </c>
      <c r="CI10" s="6" t="n">
        <v>702.08</v>
      </c>
      <c r="CJ10" s="11" t="n">
        <v>45876</v>
      </c>
      <c r="CK10" s="6" t="n">
        <v>1</v>
      </c>
      <c r="CL10" s="6" t="n">
        <v>961.97</v>
      </c>
      <c r="CM10" s="11" t="n">
        <v>45776</v>
      </c>
      <c r="CN10" s="6" t="n">
        <v>1</v>
      </c>
      <c r="CO10" s="6" t="n">
        <v>921.13</v>
      </c>
      <c r="CP10" s="11" t="n">
        <v>45189</v>
      </c>
      <c r="CQ10" s="6" t="n">
        <v>1</v>
      </c>
      <c r="CR10" s="6" t="n">
        <v>687.55</v>
      </c>
      <c r="CS10" s="11" t="n">
        <v>45267</v>
      </c>
      <c r="CT10" s="6" t="n">
        <v>1</v>
      </c>
      <c r="CU10" s="6" t="n">
        <v>730.51</v>
      </c>
      <c r="CV10" s="11" t="n">
        <v>45447</v>
      </c>
      <c r="CW10" s="6" t="n">
        <v>1</v>
      </c>
      <c r="CX10" s="6" t="n">
        <v>1090.61</v>
      </c>
      <c r="CY10" s="11" t="n">
        <v>45184</v>
      </c>
      <c r="CZ10" s="6" t="n">
        <v>2</v>
      </c>
      <c r="DA10" s="6" t="n">
        <v>1428.38</v>
      </c>
      <c r="DB10" s="11" t="n">
        <v>45869</v>
      </c>
      <c r="DC10" s="6" t="n">
        <v>1</v>
      </c>
      <c r="DD10" s="6" t="n">
        <v>931.51</v>
      </c>
      <c r="DE10" s="11" t="n">
        <v>45566</v>
      </c>
      <c r="DF10" s="6" t="n">
        <v>1</v>
      </c>
      <c r="DG10" s="6" t="n">
        <v>778.45</v>
      </c>
      <c r="DH10" s="11" t="n">
        <v>45876</v>
      </c>
      <c r="DI10" s="6" t="n">
        <v>1</v>
      </c>
      <c r="DJ10" s="6" t="n">
        <v>959.81</v>
      </c>
      <c r="DK10" s="11" t="n">
        <v>45447</v>
      </c>
      <c r="DL10" s="6" t="n">
        <v>1</v>
      </c>
      <c r="DM10" s="6" t="n">
        <v>716.79</v>
      </c>
      <c r="DN10" s="11" t="n">
        <v>45506</v>
      </c>
      <c r="DO10" s="6" t="n">
        <v>1</v>
      </c>
      <c r="DP10" s="6" t="n">
        <v>695.04</v>
      </c>
      <c r="DQ10" s="11" t="n">
        <v>45742</v>
      </c>
      <c r="DR10" s="6" t="n">
        <v>1</v>
      </c>
      <c r="DS10" s="6" t="n">
        <v>853.13</v>
      </c>
      <c r="DT10" s="11" t="n">
        <v>45566</v>
      </c>
      <c r="DU10" s="6" t="n">
        <v>1</v>
      </c>
      <c r="DV10" s="6" t="n">
        <v>767.24</v>
      </c>
      <c r="DW10" s="11" t="n">
        <v>45252</v>
      </c>
      <c r="DX10" s="6" t="n">
        <v>1</v>
      </c>
      <c r="DY10" s="6" t="n">
        <v>707.93</v>
      </c>
      <c r="DZ10" s="0"/>
      <c r="EA10" s="6" t="s">
        <f>=Портфель!G46*Портфель!$Q$13</f>
      </c>
      <c r="EB10" s="0" t="s">
        <v>6</v>
      </c>
      <c r="EC10" s="0"/>
      <c r="ED10" s="6" t="s">
        <f>=Портфель!G47*Портфель!$Q$13</f>
      </c>
      <c r="EE10" s="0" t="s">
        <v>6</v>
      </c>
      <c r="EF10" s="0"/>
      <c r="EG10" s="6" t="n">
        <v>6</v>
      </c>
      <c r="EH10" s="0" t="s">
        <v>1050</v>
      </c>
      <c r="EI10" s="0"/>
      <c r="EJ10" s="6" t="n">
        <v>6</v>
      </c>
      <c r="EK10" s="0" t="s">
        <v>1050</v>
      </c>
      <c r="EL10" s="0"/>
      <c r="EM10" s="6" t="s">
        <f>=Портфель!G50*Портфель!$Q$13</f>
      </c>
      <c r="EN10" s="0" t="s">
        <v>6</v>
      </c>
      <c r="EO10" s="0"/>
      <c r="EP10" s="6" t="n">
        <v>6</v>
      </c>
      <c r="EQ10" s="0" t="s">
        <v>1050</v>
      </c>
      <c r="ER10" s="0"/>
      <c r="ES10" s="6" t="s">
        <f>=Портфель!H52*Портфель!$Q$13</f>
      </c>
      <c r="ET10" s="0" t="s">
        <v>7</v>
      </c>
      <c r="EU10" s="0"/>
      <c r="EV10" s="6" t="s">
        <f>=Портфель!H53*Портфель!$Q$13</f>
      </c>
      <c r="EW10" s="0" t="s">
        <v>7</v>
      </c>
      <c r="EX10" s="0"/>
      <c r="EY10" s="6" t="s">
        <f>=Портфель!H54*Портфель!$Q$13</f>
      </c>
      <c r="EZ10" s="0" t="s">
        <v>7</v>
      </c>
      <c r="FA10" s="0"/>
      <c r="FB10" s="0"/>
      <c r="FC10" s="0"/>
      <c r="FD10" s="0"/>
      <c r="FE10" s="5" t="s">
        <f>=FE7*(FE8*FE6/100-FE5+FE9)</f>
      </c>
      <c r="FF10" s="0" t="s">
        <v>1051</v>
      </c>
      <c r="FG10" s="0"/>
      <c r="FH10" s="5" t="s">
        <f>=FH7*(FH8*FH6/100-FH5+FH9)</f>
      </c>
      <c r="FI10" s="0" t="s">
        <v>1051</v>
      </c>
      <c r="FJ10" s="0"/>
      <c r="FK10" s="5" t="s">
        <f>=FK7*(FK8*FK6/100-FK5+FK9)</f>
      </c>
      <c r="FL10" s="0" t="s">
        <v>1051</v>
      </c>
    </row>
    <row collapsed="false" customFormat="false" customHeight="false" hidden="false" ht="12.1" outlineLevel="0" r="11">
      <c r="A11" s="11" t="n">
        <v>45324</v>
      </c>
      <c r="B11" s="6" t="n">
        <v>10</v>
      </c>
      <c r="C11" s="6" t="n">
        <v>2776.6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5" t="s">
        <f>=Q10*(ABS(Q9)-ABS(Q8))</f>
      </c>
      <c r="R11" s="0" t="s">
        <v>1051</v>
      </c>
      <c r="S11" s="0"/>
      <c r="T11" s="0"/>
      <c r="U11" s="0"/>
      <c r="V11" s="0"/>
      <c r="W11" s="0"/>
      <c r="X11" s="0"/>
      <c r="Y11" s="11" t="n">
        <v>45541</v>
      </c>
      <c r="Z11" s="6" t="n">
        <v>100</v>
      </c>
      <c r="AA11" s="6" t="n">
        <v>363.99</v>
      </c>
      <c r="AB11" s="0"/>
      <c r="AC11" s="0"/>
      <c r="AD11" s="0"/>
      <c r="AE11" s="0"/>
      <c r="AF11" s="0"/>
      <c r="AG11" s="0"/>
      <c r="AH11" s="0"/>
      <c r="AI11" s="5" t="s">
        <f>=SUM(AJ2:AJ10)/SUM(AI2:AI10)</f>
      </c>
      <c r="AJ11" s="0" t="s">
        <v>11</v>
      </c>
      <c r="AK11" s="0"/>
      <c r="AL11" s="0"/>
      <c r="AM11" s="0"/>
      <c r="AN11" s="0"/>
      <c r="AO11" s="0"/>
      <c r="AP11" s="0"/>
      <c r="AQ11" s="0"/>
      <c r="AR11" s="5" t="s">
        <f>=AR10*(ABS(AR9)-ABS(AR8))</f>
      </c>
      <c r="AS11" s="0" t="s">
        <v>1051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11" t="n">
        <v>45140</v>
      </c>
      <c r="BY11" s="6" t="n">
        <v>1</v>
      </c>
      <c r="BZ11" s="6" t="n">
        <v>676.34</v>
      </c>
      <c r="CA11" s="11" t="n">
        <v>45462</v>
      </c>
      <c r="CB11" s="6" t="n">
        <v>1</v>
      </c>
      <c r="CC11" s="6" t="n">
        <v>1076.41</v>
      </c>
      <c r="CD11" s="11" t="n">
        <v>45630</v>
      </c>
      <c r="CE11" s="6" t="n">
        <v>1</v>
      </c>
      <c r="CF11" s="6" t="n">
        <v>776.83</v>
      </c>
      <c r="CG11" s="11" t="n">
        <v>45184</v>
      </c>
      <c r="CH11" s="6" t="n">
        <v>1</v>
      </c>
      <c r="CI11" s="6" t="n">
        <v>711.84</v>
      </c>
      <c r="CJ11" s="11" t="n">
        <v>45901</v>
      </c>
      <c r="CK11" s="6" t="n">
        <v>1</v>
      </c>
      <c r="CL11" s="6" t="n">
        <v>872.7</v>
      </c>
      <c r="CM11" s="11" t="n">
        <v>45812</v>
      </c>
      <c r="CN11" s="6" t="n">
        <v>1</v>
      </c>
      <c r="CO11" s="6" t="n">
        <v>921.13</v>
      </c>
      <c r="CP11" s="11" t="n">
        <v>45267</v>
      </c>
      <c r="CQ11" s="6" t="n">
        <v>1</v>
      </c>
      <c r="CR11" s="6" t="n">
        <v>646.67</v>
      </c>
      <c r="CS11" s="11" t="n">
        <v>45303</v>
      </c>
      <c r="CT11" s="6" t="n">
        <v>1</v>
      </c>
      <c r="CU11" s="6" t="n">
        <v>730.47</v>
      </c>
      <c r="CV11" s="11" t="n">
        <v>45506</v>
      </c>
      <c r="CW11" s="6" t="n">
        <v>1</v>
      </c>
      <c r="CX11" s="6" t="n">
        <v>1094.45</v>
      </c>
      <c r="CY11" s="11" t="n">
        <v>45184</v>
      </c>
      <c r="CZ11" s="6" t="n">
        <v>1</v>
      </c>
      <c r="DA11" s="6" t="n">
        <v>680.1</v>
      </c>
      <c r="DB11" s="11" t="n">
        <v>45876</v>
      </c>
      <c r="DC11" s="6" t="n">
        <v>1</v>
      </c>
      <c r="DD11" s="6" t="n">
        <v>945.91</v>
      </c>
      <c r="DE11" s="11" t="n">
        <v>45623</v>
      </c>
      <c r="DF11" s="6" t="n">
        <v>1</v>
      </c>
      <c r="DG11" s="6" t="n">
        <v>820.59</v>
      </c>
      <c r="DH11" s="11" t="n">
        <v>45901</v>
      </c>
      <c r="DI11" s="6" t="n">
        <v>1</v>
      </c>
      <c r="DJ11" s="6" t="n">
        <v>929.07</v>
      </c>
      <c r="DK11" s="11" t="n">
        <v>45506</v>
      </c>
      <c r="DL11" s="6" t="n">
        <v>1</v>
      </c>
      <c r="DM11" s="6" t="n">
        <v>717.66</v>
      </c>
      <c r="DN11" s="11" t="n">
        <v>45566</v>
      </c>
      <c r="DO11" s="6" t="n">
        <v>1</v>
      </c>
      <c r="DP11" s="6" t="n">
        <v>667.6</v>
      </c>
      <c r="DQ11" s="11" t="n">
        <v>45869</v>
      </c>
      <c r="DR11" s="6" t="n">
        <v>1</v>
      </c>
      <c r="DS11" s="6" t="n">
        <v>853.14</v>
      </c>
      <c r="DT11" s="11" t="n">
        <v>45702</v>
      </c>
      <c r="DU11" s="6" t="n">
        <v>1</v>
      </c>
      <c r="DV11" s="6" t="n">
        <v>760.91</v>
      </c>
      <c r="DW11" s="11" t="n">
        <v>45356</v>
      </c>
      <c r="DX11" s="6" t="n">
        <v>1</v>
      </c>
      <c r="DY11" s="6" t="n">
        <v>627.39</v>
      </c>
      <c r="DZ11" s="0"/>
      <c r="EA11" s="6" t="s">
        <f>=Портфель!H46*Портфель!$Q$13</f>
      </c>
      <c r="EB11" s="0" t="s">
        <v>7</v>
      </c>
      <c r="EC11" s="0"/>
      <c r="ED11" s="6" t="s">
        <f>=Портфель!H47*Портфель!$Q$13</f>
      </c>
      <c r="EE11" s="0" t="s">
        <v>7</v>
      </c>
      <c r="EF11" s="0"/>
      <c r="EG11" s="6" t="s">
        <f>=Портфель!G48*Портфель!$Q$13</f>
      </c>
      <c r="EH11" s="0" t="s">
        <v>6</v>
      </c>
      <c r="EI11" s="0"/>
      <c r="EJ11" s="6" t="s">
        <f>=Портфель!G49*Портфель!$Q$13</f>
      </c>
      <c r="EK11" s="0" t="s">
        <v>6</v>
      </c>
      <c r="EL11" s="0"/>
      <c r="EM11" s="6" t="s">
        <f>=Портфель!H50*Портфель!$Q$13</f>
      </c>
      <c r="EN11" s="0" t="s">
        <v>7</v>
      </c>
      <c r="EO11" s="0"/>
      <c r="EP11" s="6" t="s">
        <f>=Портфель!G51*Портфель!$Q$13</f>
      </c>
      <c r="EQ11" s="0" t="s">
        <v>6</v>
      </c>
      <c r="ER11" s="0"/>
      <c r="ES11" s="5" t="s">
        <f>=ES8*(ES9*ES7/100-ES6+ES10)</f>
      </c>
      <c r="ET11" s="0" t="s">
        <v>1051</v>
      </c>
      <c r="EU11" s="0"/>
      <c r="EV11" s="5" t="s">
        <f>=EV8*(EV9*EV7/100-EV6+EV10)</f>
      </c>
      <c r="EW11" s="0" t="s">
        <v>1051</v>
      </c>
      <c r="EX11" s="0"/>
      <c r="EY11" s="5" t="s">
        <f>=EY8*(EY9*EY7/100-EY6+EY10)</f>
      </c>
      <c r="EZ11" s="0" t="s">
        <v>1051</v>
      </c>
    </row>
    <row collapsed="false" customFormat="false" customHeight="false" hidden="false" ht="12.1" outlineLevel="0" r="12">
      <c r="A12" s="11" t="n">
        <v>45324</v>
      </c>
      <c r="B12" s="6" t="n">
        <v>10</v>
      </c>
      <c r="C12" s="6" t="n">
        <v>2773.8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11" t="n">
        <v>45597</v>
      </c>
      <c r="Z12" s="6" t="n">
        <v>100</v>
      </c>
      <c r="AA12" s="6" t="n">
        <v>380.94</v>
      </c>
      <c r="AB12" s="0"/>
      <c r="AC12" s="0"/>
      <c r="AD12" s="0"/>
      <c r="AE12" s="0"/>
      <c r="AF12" s="0"/>
      <c r="AG12" s="0"/>
      <c r="AH12" s="0"/>
      <c r="AI12" s="6" t="n">
        <v>87.29</v>
      </c>
      <c r="AJ12" s="0" t="s">
        <v>1049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45147</v>
      </c>
      <c r="BY12" s="6" t="n">
        <v>1</v>
      </c>
      <c r="BZ12" s="6" t="n">
        <v>676.34</v>
      </c>
      <c r="CA12" s="11" t="n">
        <v>45506</v>
      </c>
      <c r="CB12" s="6" t="n">
        <v>1</v>
      </c>
      <c r="CC12" s="6" t="n">
        <v>1076.41</v>
      </c>
      <c r="CD12" s="11" t="n">
        <v>45714</v>
      </c>
      <c r="CE12" s="6" t="n">
        <v>1</v>
      </c>
      <c r="CF12" s="6" t="n">
        <v>782.23</v>
      </c>
      <c r="CG12" s="11" t="n">
        <v>45240</v>
      </c>
      <c r="CH12" s="6" t="n">
        <v>2</v>
      </c>
      <c r="CI12" s="6" t="n">
        <v>1318.1</v>
      </c>
      <c r="CJ12" s="11" t="n">
        <v>45924</v>
      </c>
      <c r="CK12" s="6" t="n">
        <v>1</v>
      </c>
      <c r="CL12" s="6" t="n">
        <v>876.81</v>
      </c>
      <c r="CM12" s="11" t="n">
        <v>45869</v>
      </c>
      <c r="CN12" s="6" t="n">
        <v>1</v>
      </c>
      <c r="CO12" s="6" t="n">
        <v>927.41</v>
      </c>
      <c r="CP12" s="11" t="n">
        <v>45371</v>
      </c>
      <c r="CQ12" s="6" t="n">
        <v>1</v>
      </c>
      <c r="CR12" s="6" t="n">
        <v>594.98</v>
      </c>
      <c r="CS12" s="11" t="n">
        <v>45351</v>
      </c>
      <c r="CT12" s="6" t="n">
        <v>1</v>
      </c>
      <c r="CU12" s="6" t="n">
        <v>725.98</v>
      </c>
      <c r="CV12" s="11" t="n">
        <v>45566</v>
      </c>
      <c r="CW12" s="6" t="n">
        <v>1</v>
      </c>
      <c r="CX12" s="6" t="n">
        <v>1094.6</v>
      </c>
      <c r="CY12" s="11" t="n">
        <v>45303</v>
      </c>
      <c r="CZ12" s="6" t="n">
        <v>1</v>
      </c>
      <c r="DA12" s="6" t="n">
        <v>673.53</v>
      </c>
      <c r="DB12" s="11" t="n">
        <v>45876</v>
      </c>
      <c r="DC12" s="6" t="n">
        <v>1</v>
      </c>
      <c r="DD12" s="6" t="n">
        <v>912.72</v>
      </c>
      <c r="DE12" s="11" t="n">
        <v>45702</v>
      </c>
      <c r="DF12" s="6" t="n">
        <v>1</v>
      </c>
      <c r="DG12" s="6" t="n">
        <v>820.6</v>
      </c>
      <c r="DH12" s="11" t="n">
        <v>45931</v>
      </c>
      <c r="DI12" s="6" t="n">
        <v>1</v>
      </c>
      <c r="DJ12" s="6" t="n">
        <v>914.74</v>
      </c>
      <c r="DK12" s="11" t="n">
        <v>45566</v>
      </c>
      <c r="DL12" s="6" t="n">
        <v>1</v>
      </c>
      <c r="DM12" s="6" t="n">
        <v>772.95</v>
      </c>
      <c r="DN12" s="11" t="n">
        <v>45567</v>
      </c>
      <c r="DO12" s="6" t="n">
        <v>1</v>
      </c>
      <c r="DP12" s="6" t="n">
        <v>756.8</v>
      </c>
      <c r="DQ12" s="0"/>
      <c r="DR12" s="5" t="s">
        <f>=SUM(DS2:DS11)/SUM(DR2:DR11)</f>
      </c>
      <c r="DS12" s="0" t="s">
        <v>11</v>
      </c>
      <c r="DT12" s="11" t="n">
        <v>45702</v>
      </c>
      <c r="DU12" s="6" t="n">
        <v>1</v>
      </c>
      <c r="DV12" s="6" t="n">
        <v>775.63</v>
      </c>
      <c r="DW12" s="11" t="n">
        <v>45387</v>
      </c>
      <c r="DX12" s="6" t="n">
        <v>1</v>
      </c>
      <c r="DY12" s="6" t="n">
        <v>702.59</v>
      </c>
      <c r="DZ12" s="0"/>
      <c r="EA12" s="5" t="s">
        <f>=EA9*(EA10*EA8/100-EA7+EA11)</f>
      </c>
      <c r="EB12" s="0" t="s">
        <v>1051</v>
      </c>
      <c r="EC12" s="0"/>
      <c r="ED12" s="5" t="s">
        <f>=ED9*(ED10*ED8/100-ED7+ED11)</f>
      </c>
      <c r="EE12" s="0" t="s">
        <v>1051</v>
      </c>
      <c r="EF12" s="0"/>
      <c r="EG12" s="6" t="s">
        <f>=Портфель!H48*Портфель!$Q$13</f>
      </c>
      <c r="EH12" s="0" t="s">
        <v>7</v>
      </c>
      <c r="EI12" s="0"/>
      <c r="EJ12" s="6" t="s">
        <f>=Портфель!H49*Портфель!$Q$13</f>
      </c>
      <c r="EK12" s="0" t="s">
        <v>7</v>
      </c>
      <c r="EL12" s="0"/>
      <c r="EM12" s="5" t="s">
        <f>=EM9*(EM10*EM8/100-EM7+EM11)</f>
      </c>
      <c r="EN12" s="0" t="s">
        <v>1051</v>
      </c>
      <c r="EO12" s="0"/>
      <c r="EP12" s="6" t="s">
        <f>=Портфель!H51*Портфель!$Q$13</f>
      </c>
      <c r="EQ12" s="0" t="s">
        <v>7</v>
      </c>
    </row>
    <row collapsed="false" customFormat="false" customHeight="false" hidden="false" ht="12.1" outlineLevel="0" r="13">
      <c r="A13" s="11" t="n">
        <v>45324</v>
      </c>
      <c r="B13" s="6" t="n">
        <v>10</v>
      </c>
      <c r="C13" s="6" t="n">
        <v>2775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45639</v>
      </c>
      <c r="Z13" s="6" t="n">
        <v>100</v>
      </c>
      <c r="AA13" s="6" t="n">
        <v>359.48</v>
      </c>
      <c r="AB13" s="0"/>
      <c r="AC13" s="0"/>
      <c r="AD13" s="0"/>
      <c r="AE13" s="0"/>
      <c r="AF13" s="0"/>
      <c r="AG13" s="0"/>
      <c r="AH13" s="0"/>
      <c r="AI13" s="6" t="n">
        <v>50</v>
      </c>
      <c r="AJ13" s="0" t="s">
        <v>1050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45184</v>
      </c>
      <c r="BY13" s="6" t="n">
        <v>2</v>
      </c>
      <c r="BZ13" s="6" t="n">
        <v>1371.7</v>
      </c>
      <c r="CA13" s="11" t="n">
        <v>45566</v>
      </c>
      <c r="CB13" s="6" t="n">
        <v>1</v>
      </c>
      <c r="CC13" s="6" t="n">
        <v>1084.33</v>
      </c>
      <c r="CD13" s="11" t="n">
        <v>45776</v>
      </c>
      <c r="CE13" s="6" t="n">
        <v>1</v>
      </c>
      <c r="CF13" s="6" t="n">
        <v>781.67</v>
      </c>
      <c r="CG13" s="11" t="n">
        <v>45266</v>
      </c>
      <c r="CH13" s="6" t="n">
        <v>2</v>
      </c>
      <c r="CI13" s="6" t="n">
        <v>1319.46</v>
      </c>
      <c r="CJ13" s="11" t="n">
        <v>45931</v>
      </c>
      <c r="CK13" s="6" t="n">
        <v>1</v>
      </c>
      <c r="CL13" s="6" t="n">
        <v>876.77</v>
      </c>
      <c r="CM13" s="11" t="n">
        <v>45869</v>
      </c>
      <c r="CN13" s="6" t="n">
        <v>1</v>
      </c>
      <c r="CO13" s="6" t="n">
        <v>927.06</v>
      </c>
      <c r="CP13" s="11" t="n">
        <v>45387</v>
      </c>
      <c r="CQ13" s="6" t="n">
        <v>1</v>
      </c>
      <c r="CR13" s="6" t="n">
        <v>594.76</v>
      </c>
      <c r="CS13" s="11" t="n">
        <v>45351</v>
      </c>
      <c r="CT13" s="6" t="n">
        <v>1</v>
      </c>
      <c r="CU13" s="6" t="n">
        <v>649.19</v>
      </c>
      <c r="CV13" s="0"/>
      <c r="CW13" s="5" t="s">
        <f>=SUM(CX2:CX12)/SUM(CW2:CW12)</f>
      </c>
      <c r="CX13" s="0" t="s">
        <v>11</v>
      </c>
      <c r="CY13" s="11" t="n">
        <v>45336</v>
      </c>
      <c r="CZ13" s="6" t="n">
        <v>1</v>
      </c>
      <c r="DA13" s="6" t="n">
        <v>636.15</v>
      </c>
      <c r="DB13" s="11" t="n">
        <v>45901</v>
      </c>
      <c r="DC13" s="6" t="n">
        <v>1</v>
      </c>
      <c r="DD13" s="6" t="n">
        <v>906.42</v>
      </c>
      <c r="DE13" s="11" t="n">
        <v>45805</v>
      </c>
      <c r="DF13" s="6" t="n">
        <v>1</v>
      </c>
      <c r="DG13" s="6" t="n">
        <v>817.64</v>
      </c>
      <c r="DH13" s="11" t="n">
        <v>45938</v>
      </c>
      <c r="DI13" s="6" t="n">
        <v>1</v>
      </c>
      <c r="DJ13" s="6" t="n">
        <v>914.74</v>
      </c>
      <c r="DK13" s="11" t="n">
        <v>45566</v>
      </c>
      <c r="DL13" s="6" t="n">
        <v>1</v>
      </c>
      <c r="DM13" s="6" t="n">
        <v>759.68</v>
      </c>
      <c r="DN13" s="11" t="n">
        <v>45702</v>
      </c>
      <c r="DO13" s="6" t="n">
        <v>1</v>
      </c>
      <c r="DP13" s="6" t="n">
        <v>760.66</v>
      </c>
      <c r="DQ13" s="0"/>
      <c r="DR13" s="6" t="n">
        <v>86.655</v>
      </c>
      <c r="DS13" s="0" t="s">
        <v>1049</v>
      </c>
      <c r="DT13" s="11" t="n">
        <v>45714</v>
      </c>
      <c r="DU13" s="6" t="n">
        <v>1</v>
      </c>
      <c r="DV13" s="6" t="n">
        <v>776.02</v>
      </c>
      <c r="DW13" s="11" t="n">
        <v>45387</v>
      </c>
      <c r="DX13" s="6" t="n">
        <v>1</v>
      </c>
      <c r="DY13" s="6" t="n">
        <v>702.48</v>
      </c>
      <c r="DZ13" s="0"/>
      <c r="EA13" s="0"/>
      <c r="EB13" s="0"/>
      <c r="EC13" s="0"/>
      <c r="ED13" s="0"/>
      <c r="EE13" s="0"/>
      <c r="EF13" s="0"/>
      <c r="EG13" s="5" t="s">
        <f>=EG10*(EG11*EG9/100-EG8+EG12)</f>
      </c>
      <c r="EH13" s="0" t="s">
        <v>1051</v>
      </c>
      <c r="EI13" s="0"/>
      <c r="EJ13" s="5" t="s">
        <f>=EJ10*(EJ11*EJ9/100-EJ8+EJ12)</f>
      </c>
      <c r="EK13" s="0" t="s">
        <v>1051</v>
      </c>
      <c r="EL13" s="0"/>
      <c r="EM13" s="0"/>
      <c r="EN13" s="0"/>
      <c r="EO13" s="0"/>
      <c r="EP13" s="5" t="s">
        <f>=EP10*(EP11*EP9/100-EP8+EP12)</f>
      </c>
      <c r="EQ13" s="0" t="s">
        <v>1051</v>
      </c>
    </row>
    <row collapsed="false" customFormat="false" customHeight="false" hidden="false" ht="12.1" outlineLevel="0" r="14">
      <c r="A14" s="11" t="n">
        <v>45418</v>
      </c>
      <c r="B14" s="6" t="n">
        <v>10</v>
      </c>
      <c r="C14" s="6" t="n">
        <v>3082.42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5" t="s">
        <f>=SUM(AA2:AA13)/SUM(Z2:Z13)</f>
      </c>
      <c r="AA14" s="0" t="s">
        <v>11</v>
      </c>
      <c r="AB14" s="0"/>
      <c r="AC14" s="0"/>
      <c r="AD14" s="0"/>
      <c r="AE14" s="0"/>
      <c r="AF14" s="0"/>
      <c r="AG14" s="0"/>
      <c r="AH14" s="0"/>
      <c r="AI14" s="5" t="s">
        <f>=AI13*(ABS(AI12)-ABS(AI11))</f>
      </c>
      <c r="AJ14" s="0" t="s">
        <v>1051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11" t="n">
        <v>45184</v>
      </c>
      <c r="BY14" s="6" t="n">
        <v>3</v>
      </c>
      <c r="BZ14" s="6" t="n">
        <v>2007.33</v>
      </c>
      <c r="CA14" s="11" t="n">
        <v>45566</v>
      </c>
      <c r="CB14" s="6" t="n">
        <v>1</v>
      </c>
      <c r="CC14" s="6" t="n">
        <v>1084.33</v>
      </c>
      <c r="CD14" s="11" t="n">
        <v>45812</v>
      </c>
      <c r="CE14" s="6" t="n">
        <v>1</v>
      </c>
      <c r="CF14" s="6" t="n">
        <v>798.28</v>
      </c>
      <c r="CG14" s="11" t="n">
        <v>45267</v>
      </c>
      <c r="CH14" s="6" t="n">
        <v>1</v>
      </c>
      <c r="CI14" s="6" t="n">
        <v>661.05</v>
      </c>
      <c r="CJ14" s="11" t="n">
        <v>45959</v>
      </c>
      <c r="CK14" s="6" t="n">
        <v>1</v>
      </c>
      <c r="CL14" s="6" t="n">
        <v>922.87</v>
      </c>
      <c r="CM14" s="11" t="n">
        <v>45876</v>
      </c>
      <c r="CN14" s="6" t="n">
        <v>1</v>
      </c>
      <c r="CO14" s="6" t="n">
        <v>942.46</v>
      </c>
      <c r="CP14" s="11" t="n">
        <v>45387</v>
      </c>
      <c r="CQ14" s="6" t="n">
        <v>1</v>
      </c>
      <c r="CR14" s="6" t="n">
        <v>664.15</v>
      </c>
      <c r="CS14" s="11" t="n">
        <v>45356</v>
      </c>
      <c r="CT14" s="6" t="n">
        <v>1</v>
      </c>
      <c r="CU14" s="6" t="n">
        <v>610.68</v>
      </c>
      <c r="CV14" s="0"/>
      <c r="CW14" s="6" t="n">
        <v>104.1</v>
      </c>
      <c r="CX14" s="0" t="s">
        <v>1049</v>
      </c>
      <c r="CY14" s="11" t="n">
        <v>45351</v>
      </c>
      <c r="CZ14" s="6" t="n">
        <v>1</v>
      </c>
      <c r="DA14" s="6" t="n">
        <v>602.21</v>
      </c>
      <c r="DB14" s="11" t="n">
        <v>45931</v>
      </c>
      <c r="DC14" s="6" t="n">
        <v>1</v>
      </c>
      <c r="DD14" s="6" t="n">
        <v>906.4</v>
      </c>
      <c r="DE14" s="11" t="n">
        <v>45959</v>
      </c>
      <c r="DF14" s="6" t="n">
        <v>1</v>
      </c>
      <c r="DG14" s="6" t="n">
        <v>817.65</v>
      </c>
      <c r="DH14" s="0"/>
      <c r="DI14" s="5" t="s">
        <f>=SUM(DJ2:DJ13)/SUM(DI2:DI13)</f>
      </c>
      <c r="DJ14" s="0" t="s">
        <v>11</v>
      </c>
      <c r="DK14" s="11" t="n">
        <v>45581</v>
      </c>
      <c r="DL14" s="6" t="n">
        <v>1</v>
      </c>
      <c r="DM14" s="6" t="n">
        <v>759.68</v>
      </c>
      <c r="DN14" s="11" t="n">
        <v>45702</v>
      </c>
      <c r="DO14" s="6" t="n">
        <v>1</v>
      </c>
      <c r="DP14" s="6" t="n">
        <v>697.99</v>
      </c>
      <c r="DQ14" s="0"/>
      <c r="DR14" s="6" t="n">
        <v>11</v>
      </c>
      <c r="DS14" s="0" t="s">
        <v>1050</v>
      </c>
      <c r="DT14" s="0"/>
      <c r="DU14" s="5" t="s">
        <f>=SUM(DV2:DV13)/SUM(DU2:DU13)</f>
      </c>
      <c r="DV14" s="0" t="s">
        <v>11</v>
      </c>
      <c r="DW14" s="11" t="n">
        <v>45434</v>
      </c>
      <c r="DX14" s="6" t="n">
        <v>1</v>
      </c>
      <c r="DY14" s="6" t="n">
        <v>677.57</v>
      </c>
    </row>
    <row collapsed="false" customFormat="false" customHeight="false" hidden="false" ht="12.1" outlineLevel="0" r="15">
      <c r="A15" s="11" t="n">
        <v>45597</v>
      </c>
      <c r="B15" s="6" t="n">
        <v>30</v>
      </c>
      <c r="C15" s="6" t="n">
        <v>7072.65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6" t="n">
        <v>3.322</v>
      </c>
      <c r="AA15" s="0" t="s">
        <v>1049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11" t="n">
        <v>45184</v>
      </c>
      <c r="BY15" s="6" t="n">
        <v>1</v>
      </c>
      <c r="BZ15" s="6" t="n">
        <v>644.92</v>
      </c>
      <c r="CA15" s="0"/>
      <c r="CB15" s="5" t="s">
        <f>=SUM(CC2:CC14)/SUM(CB2:CB14)</f>
      </c>
      <c r="CC15" s="0" t="s">
        <v>11</v>
      </c>
      <c r="CD15" s="11" t="n">
        <v>45869</v>
      </c>
      <c r="CE15" s="6" t="n">
        <v>1</v>
      </c>
      <c r="CF15" s="6" t="n">
        <v>766.41</v>
      </c>
      <c r="CG15" s="11" t="n">
        <v>45303</v>
      </c>
      <c r="CH15" s="6" t="n">
        <v>1</v>
      </c>
      <c r="CI15" s="6" t="n">
        <v>655.1</v>
      </c>
      <c r="CJ15" s="11" t="n">
        <v>45959</v>
      </c>
      <c r="CK15" s="6" t="n">
        <v>1</v>
      </c>
      <c r="CL15" s="6" t="n">
        <v>922.86</v>
      </c>
      <c r="CM15" s="11" t="n">
        <v>45876</v>
      </c>
      <c r="CN15" s="6" t="n">
        <v>1</v>
      </c>
      <c r="CO15" s="6" t="n">
        <v>911.16</v>
      </c>
      <c r="CP15" s="11" t="n">
        <v>45506</v>
      </c>
      <c r="CQ15" s="6" t="n">
        <v>1</v>
      </c>
      <c r="CR15" s="6" t="n">
        <v>692.02</v>
      </c>
      <c r="CS15" s="11" t="n">
        <v>45385</v>
      </c>
      <c r="CT15" s="6" t="n">
        <v>1</v>
      </c>
      <c r="CU15" s="6" t="n">
        <v>600.32</v>
      </c>
      <c r="CV15" s="0"/>
      <c r="CW15" s="6" t="n">
        <v>11</v>
      </c>
      <c r="CX15" s="0" t="s">
        <v>1050</v>
      </c>
      <c r="CY15" s="11" t="n">
        <v>45356</v>
      </c>
      <c r="CZ15" s="6" t="n">
        <v>1</v>
      </c>
      <c r="DA15" s="6" t="n">
        <v>594.05</v>
      </c>
      <c r="DB15" s="0"/>
      <c r="DC15" s="5" t="s">
        <f>=SUM(DD2:DD14)/SUM(DC2:DC14)</f>
      </c>
      <c r="DD15" s="0" t="s">
        <v>11</v>
      </c>
      <c r="DE15" s="0"/>
      <c r="DF15" s="5" t="s">
        <f>=SUM(DG2:DG14)/SUM(DF2:DF14)</f>
      </c>
      <c r="DG15" s="0" t="s">
        <v>11</v>
      </c>
      <c r="DH15" s="0"/>
      <c r="DI15" s="6" t="n">
        <v>88.979</v>
      </c>
      <c r="DJ15" s="0" t="s">
        <v>1049</v>
      </c>
      <c r="DK15" s="0"/>
      <c r="DL15" s="5" t="s">
        <f>=SUM(DM2:DM14)/SUM(DL2:DL14)</f>
      </c>
      <c r="DM15" s="0" t="s">
        <v>11</v>
      </c>
      <c r="DN15" s="11" t="n">
        <v>45749</v>
      </c>
      <c r="DO15" s="6" t="n">
        <v>1</v>
      </c>
      <c r="DP15" s="6" t="n">
        <v>700.58</v>
      </c>
      <c r="DQ15" s="0"/>
      <c r="DR15" s="6" t="s">
        <f>=Портфель!G43*Портфель!$Q$13</f>
      </c>
      <c r="DS15" s="0" t="s">
        <v>6</v>
      </c>
      <c r="DT15" s="0"/>
      <c r="DU15" s="6" t="n">
        <v>79.027</v>
      </c>
      <c r="DV15" s="0" t="s">
        <v>1049</v>
      </c>
      <c r="DW15" s="11" t="n">
        <v>45616</v>
      </c>
      <c r="DX15" s="6" t="n">
        <v>1</v>
      </c>
      <c r="DY15" s="6" t="n">
        <v>681.01</v>
      </c>
    </row>
    <row collapsed="false" customFormat="false" customHeight="false" hidden="false" ht="12.1" outlineLevel="0" r="16">
      <c r="A16" s="11" t="n">
        <v>45639</v>
      </c>
      <c r="B16" s="6" t="n">
        <v>20</v>
      </c>
      <c r="C16" s="6" t="n">
        <v>4579.5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6" t="n">
        <v>1400</v>
      </c>
      <c r="AA16" s="0" t="s">
        <v>1050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45240</v>
      </c>
      <c r="BY16" s="6" t="n">
        <v>4</v>
      </c>
      <c r="BZ16" s="6" t="n">
        <v>2579.7</v>
      </c>
      <c r="CA16" s="0"/>
      <c r="CB16" s="6" t="n">
        <v>105.938</v>
      </c>
      <c r="CC16" s="0" t="s">
        <v>1049</v>
      </c>
      <c r="CD16" s="11" t="n">
        <v>45876</v>
      </c>
      <c r="CE16" s="6" t="n">
        <v>1</v>
      </c>
      <c r="CF16" s="6" t="n">
        <v>760.6</v>
      </c>
      <c r="CG16" s="11" t="n">
        <v>45351</v>
      </c>
      <c r="CH16" s="6" t="n">
        <v>1</v>
      </c>
      <c r="CI16" s="6" t="n">
        <v>618.7</v>
      </c>
      <c r="CJ16" s="0"/>
      <c r="CK16" s="5" t="s">
        <f>=SUM(CL2:CL15)/SUM(CK2:CK15)</f>
      </c>
      <c r="CL16" s="0" t="s">
        <v>11</v>
      </c>
      <c r="CM16" s="0"/>
      <c r="CN16" s="5" t="s">
        <f>=SUM(CO2:CO15)/SUM(CN2:CN15)</f>
      </c>
      <c r="CO16" s="0" t="s">
        <v>11</v>
      </c>
      <c r="CP16" s="11" t="n">
        <v>45553</v>
      </c>
      <c r="CQ16" s="6" t="n">
        <v>1</v>
      </c>
      <c r="CR16" s="6" t="n">
        <v>691.99</v>
      </c>
      <c r="CS16" s="11" t="n">
        <v>45387</v>
      </c>
      <c r="CT16" s="6" t="n">
        <v>1</v>
      </c>
      <c r="CU16" s="6" t="n">
        <v>607.69</v>
      </c>
      <c r="CV16" s="0"/>
      <c r="CW16" s="6" t="s">
        <f>=Портфель!G36*Портфель!$Q$13</f>
      </c>
      <c r="CX16" s="0" t="s">
        <v>6</v>
      </c>
      <c r="CY16" s="11" t="n">
        <v>45387</v>
      </c>
      <c r="CZ16" s="6" t="n">
        <v>1</v>
      </c>
      <c r="DA16" s="6" t="n">
        <v>587.83</v>
      </c>
      <c r="DB16" s="0"/>
      <c r="DC16" s="6" t="n">
        <v>88.931</v>
      </c>
      <c r="DD16" s="0" t="s">
        <v>1049</v>
      </c>
      <c r="DE16" s="0"/>
      <c r="DF16" s="6" t="n">
        <v>80.277</v>
      </c>
      <c r="DG16" s="0" t="s">
        <v>1049</v>
      </c>
      <c r="DH16" s="0"/>
      <c r="DI16" s="6" t="n">
        <v>12</v>
      </c>
      <c r="DJ16" s="0" t="s">
        <v>1050</v>
      </c>
      <c r="DK16" s="0"/>
      <c r="DL16" s="6" t="n">
        <v>81.155</v>
      </c>
      <c r="DM16" s="0" t="s">
        <v>1049</v>
      </c>
      <c r="DN16" s="0"/>
      <c r="DO16" s="5" t="s">
        <f>=SUM(DP2:DP15)/SUM(DO2:DO15)</f>
      </c>
      <c r="DP16" s="0" t="s">
        <v>11</v>
      </c>
      <c r="DQ16" s="0"/>
      <c r="DR16" s="6" t="s">
        <f>=Портфель!H43*Портфель!$Q$13</f>
      </c>
      <c r="DS16" s="0" t="s">
        <v>7</v>
      </c>
      <c r="DT16" s="0"/>
      <c r="DU16" s="6" t="n">
        <v>12</v>
      </c>
      <c r="DV16" s="0" t="s">
        <v>1050</v>
      </c>
      <c r="DW16" s="0"/>
      <c r="DX16" s="5" t="s">
        <f>=SUM(DY2:DY15)/SUM(DX2:DX15)</f>
      </c>
      <c r="DY16" s="0" t="s">
        <v>11</v>
      </c>
    </row>
    <row collapsed="false" customFormat="false" customHeight="false" hidden="false" ht="12.1" outlineLevel="0" r="17">
      <c r="A17" s="11" t="n">
        <v>45840</v>
      </c>
      <c r="B17" s="6" t="n">
        <v>20</v>
      </c>
      <c r="C17" s="6" t="n">
        <v>6406.96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5" t="s">
        <f>=Z16*(ABS(Z15)-ABS(Z14))</f>
      </c>
      <c r="AA17" s="0" t="s">
        <v>1051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11" t="n">
        <v>45267</v>
      </c>
      <c r="BY17" s="6" t="n">
        <v>1</v>
      </c>
      <c r="BZ17" s="6" t="n">
        <v>640.83</v>
      </c>
      <c r="CA17" s="0"/>
      <c r="CB17" s="6" t="n">
        <v>14</v>
      </c>
      <c r="CC17" s="0" t="s">
        <v>1050</v>
      </c>
      <c r="CD17" s="11" t="n">
        <v>45876</v>
      </c>
      <c r="CE17" s="6" t="n">
        <v>1</v>
      </c>
      <c r="CF17" s="6" t="n">
        <v>760.58</v>
      </c>
      <c r="CG17" s="11" t="n">
        <v>45356</v>
      </c>
      <c r="CH17" s="6" t="n">
        <v>4</v>
      </c>
      <c r="CI17" s="6" t="n">
        <v>2185.88</v>
      </c>
      <c r="CJ17" s="0"/>
      <c r="CK17" s="6" t="n">
        <v>88.45</v>
      </c>
      <c r="CL17" s="0" t="s">
        <v>1049</v>
      </c>
      <c r="CM17" s="0"/>
      <c r="CN17" s="6" t="n">
        <v>89</v>
      </c>
      <c r="CO17" s="0" t="s">
        <v>1049</v>
      </c>
      <c r="CP17" s="11" t="n">
        <v>45566</v>
      </c>
      <c r="CQ17" s="6" t="n">
        <v>1</v>
      </c>
      <c r="CR17" s="6" t="n">
        <v>691.95</v>
      </c>
      <c r="CS17" s="11" t="n">
        <v>45447</v>
      </c>
      <c r="CT17" s="6" t="n">
        <v>1</v>
      </c>
      <c r="CU17" s="6" t="n">
        <v>604.68</v>
      </c>
      <c r="CV17" s="0"/>
      <c r="CW17" s="6" t="s">
        <f>=Портфель!H36*Портфель!$Q$13</f>
      </c>
      <c r="CX17" s="0" t="s">
        <v>7</v>
      </c>
      <c r="CY17" s="11" t="n">
        <v>45447</v>
      </c>
      <c r="CZ17" s="6" t="n">
        <v>1</v>
      </c>
      <c r="DA17" s="6" t="n">
        <v>570.58</v>
      </c>
      <c r="DB17" s="0"/>
      <c r="DC17" s="6" t="n">
        <v>13</v>
      </c>
      <c r="DD17" s="0" t="s">
        <v>1050</v>
      </c>
      <c r="DE17" s="0"/>
      <c r="DF17" s="6" t="n">
        <v>14</v>
      </c>
      <c r="DG17" s="0" t="s">
        <v>1050</v>
      </c>
      <c r="DH17" s="0"/>
      <c r="DI17" s="6" t="s">
        <f>=Портфель!G40*Портфель!$Q$13</f>
      </c>
      <c r="DJ17" s="0" t="s">
        <v>6</v>
      </c>
      <c r="DK17" s="0"/>
      <c r="DL17" s="6" t="n">
        <v>13</v>
      </c>
      <c r="DM17" s="0" t="s">
        <v>1050</v>
      </c>
      <c r="DN17" s="0"/>
      <c r="DO17" s="6" t="n">
        <v>71.859</v>
      </c>
      <c r="DP17" s="0" t="s">
        <v>1049</v>
      </c>
      <c r="DQ17" s="0"/>
      <c r="DR17" s="5" t="s">
        <f>=DR14*(DR15*DR13/100-DR12+DR16)</f>
      </c>
      <c r="DS17" s="0" t="s">
        <v>1051</v>
      </c>
      <c r="DT17" s="0"/>
      <c r="DU17" s="6" t="s">
        <f>=Портфель!G44*Портфель!$Q$13</f>
      </c>
      <c r="DV17" s="0" t="s">
        <v>6</v>
      </c>
      <c r="DW17" s="0"/>
      <c r="DX17" s="6" t="n">
        <v>67.079</v>
      </c>
      <c r="DY17" s="0" t="s">
        <v>1049</v>
      </c>
    </row>
    <row collapsed="false" customFormat="false" customHeight="false" hidden="false" ht="12.1" outlineLevel="0" r="18">
      <c r="A18" s="11" t="n">
        <v>45869</v>
      </c>
      <c r="B18" s="6" t="n">
        <v>10</v>
      </c>
      <c r="C18" s="6" t="n">
        <v>3043.52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11" t="n">
        <v>45322</v>
      </c>
      <c r="BY18" s="6" t="n">
        <v>3</v>
      </c>
      <c r="BZ18" s="6" t="n">
        <v>1817.45</v>
      </c>
      <c r="CA18" s="0"/>
      <c r="CB18" s="6" t="s">
        <f>=Портфель!G29*Портфель!$Q$13</f>
      </c>
      <c r="CC18" s="0" t="s">
        <v>6</v>
      </c>
      <c r="CD18" s="0"/>
      <c r="CE18" s="5" t="s">
        <f>=SUM(CF2:CF17)/SUM(CE2:CE17)</f>
      </c>
      <c r="CF18" s="0" t="s">
        <v>11</v>
      </c>
      <c r="CG18" s="11" t="n">
        <v>45387</v>
      </c>
      <c r="CH18" s="6" t="n">
        <v>1</v>
      </c>
      <c r="CI18" s="6" t="n">
        <v>556.13</v>
      </c>
      <c r="CJ18" s="0"/>
      <c r="CK18" s="6" t="n">
        <v>14</v>
      </c>
      <c r="CL18" s="0" t="s">
        <v>1050</v>
      </c>
      <c r="CM18" s="0"/>
      <c r="CN18" s="6" t="n">
        <v>14</v>
      </c>
      <c r="CO18" s="0" t="s">
        <v>1050</v>
      </c>
      <c r="CP18" s="0"/>
      <c r="CQ18" s="5" t="s">
        <f>=SUM(CR2:CR17)/SUM(CQ2:CQ17)</f>
      </c>
      <c r="CR18" s="0" t="s">
        <v>11</v>
      </c>
      <c r="CS18" s="0"/>
      <c r="CT18" s="5" t="s">
        <f>=SUM(CU2:CU17)/SUM(CT2:CT17)</f>
      </c>
      <c r="CU18" s="0" t="s">
        <v>11</v>
      </c>
      <c r="CV18" s="0"/>
      <c r="CW18" s="5" t="s">
        <f>=CW15*(CW16*CW14/100-CW13+CW17)</f>
      </c>
      <c r="CX18" s="0" t="s">
        <v>1051</v>
      </c>
      <c r="CY18" s="0"/>
      <c r="CZ18" s="5" t="s">
        <f>=SUM(DA2:DA17)/SUM(CZ2:CZ17)</f>
      </c>
      <c r="DA18" s="0" t="s">
        <v>11</v>
      </c>
      <c r="DB18" s="0"/>
      <c r="DC18" s="6" t="s">
        <f>=Портфель!G38*Портфель!$Q$13</f>
      </c>
      <c r="DD18" s="0" t="s">
        <v>6</v>
      </c>
      <c r="DE18" s="0"/>
      <c r="DF18" s="6" t="s">
        <f>=Портфель!G39*Портфель!$Q$13</f>
      </c>
      <c r="DG18" s="0" t="s">
        <v>6</v>
      </c>
      <c r="DH18" s="0"/>
      <c r="DI18" s="6" t="s">
        <f>=Портфель!H40*Портфель!$Q$13</f>
      </c>
      <c r="DJ18" s="0" t="s">
        <v>7</v>
      </c>
      <c r="DK18" s="0"/>
      <c r="DL18" s="6" t="s">
        <f>=Портфель!G41*Портфель!$Q$13</f>
      </c>
      <c r="DM18" s="0" t="s">
        <v>6</v>
      </c>
      <c r="DN18" s="0"/>
      <c r="DO18" s="6" t="n">
        <v>14</v>
      </c>
      <c r="DP18" s="0" t="s">
        <v>1050</v>
      </c>
      <c r="DQ18" s="0"/>
      <c r="DR18" s="0"/>
      <c r="DS18" s="0"/>
      <c r="DT18" s="0"/>
      <c r="DU18" s="6" t="s">
        <f>=Портфель!H44*Портфель!$Q$13</f>
      </c>
      <c r="DV18" s="0" t="s">
        <v>7</v>
      </c>
      <c r="DW18" s="0"/>
      <c r="DX18" s="6" t="n">
        <v>14</v>
      </c>
      <c r="DY18" s="0" t="s">
        <v>1050</v>
      </c>
    </row>
    <row collapsed="false" customFormat="false" customHeight="false" hidden="false" ht="12.1" outlineLevel="0" r="19">
      <c r="A19" s="11" t="n">
        <v>45901</v>
      </c>
      <c r="B19" s="6" t="n">
        <v>10</v>
      </c>
      <c r="C19" s="6" t="n">
        <v>3092.84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11" t="n">
        <v>45351</v>
      </c>
      <c r="BY19" s="6" t="n">
        <v>1</v>
      </c>
      <c r="BZ19" s="6" t="n">
        <v>571.14</v>
      </c>
      <c r="CA19" s="0"/>
      <c r="CB19" s="6" t="s">
        <f>=Портфель!H29*Портфель!$Q$13</f>
      </c>
      <c r="CC19" s="0" t="s">
        <v>7</v>
      </c>
      <c r="CD19" s="0"/>
      <c r="CE19" s="6" t="n">
        <v>75.295</v>
      </c>
      <c r="CF19" s="0" t="s">
        <v>1049</v>
      </c>
      <c r="CG19" s="0"/>
      <c r="CH19" s="5" t="s">
        <f>=SUM(CI2:CI18)/SUM(CH2:CH18)</f>
      </c>
      <c r="CI19" s="0" t="s">
        <v>11</v>
      </c>
      <c r="CJ19" s="0"/>
      <c r="CK19" s="6" t="s">
        <f>=Портфель!G32*Портфель!$Q$13</f>
      </c>
      <c r="CL19" s="0" t="s">
        <v>6</v>
      </c>
      <c r="CM19" s="0"/>
      <c r="CN19" s="6" t="s">
        <f>=Портфель!G33*Портфель!$Q$13</f>
      </c>
      <c r="CO19" s="0" t="s">
        <v>6</v>
      </c>
      <c r="CP19" s="0"/>
      <c r="CQ19" s="6" t="n">
        <v>71.993</v>
      </c>
      <c r="CR19" s="0" t="s">
        <v>1049</v>
      </c>
      <c r="CS19" s="0"/>
      <c r="CT19" s="6" t="n">
        <v>64.104</v>
      </c>
      <c r="CU19" s="0" t="s">
        <v>1049</v>
      </c>
      <c r="CV19" s="0"/>
      <c r="CW19" s="0"/>
      <c r="CX19" s="0"/>
      <c r="CY19" s="0"/>
      <c r="CZ19" s="6" t="n">
        <v>62.958</v>
      </c>
      <c r="DA19" s="0" t="s">
        <v>1049</v>
      </c>
      <c r="DB19" s="0"/>
      <c r="DC19" s="6" t="s">
        <f>=Портфель!H38*Портфель!$Q$13</f>
      </c>
      <c r="DD19" s="0" t="s">
        <v>7</v>
      </c>
      <c r="DE19" s="0"/>
      <c r="DF19" s="6" t="s">
        <f>=Портфель!H39*Портфель!$Q$13</f>
      </c>
      <c r="DG19" s="0" t="s">
        <v>7</v>
      </c>
      <c r="DH19" s="0"/>
      <c r="DI19" s="5" t="s">
        <f>=DI16*(DI17*DI15/100-DI14+DI18)</f>
      </c>
      <c r="DJ19" s="0" t="s">
        <v>1051</v>
      </c>
      <c r="DK19" s="0"/>
      <c r="DL19" s="6" t="s">
        <f>=Портфель!H41*Портфель!$Q$13</f>
      </c>
      <c r="DM19" s="0" t="s">
        <v>7</v>
      </c>
      <c r="DN19" s="0"/>
      <c r="DO19" s="6" t="s">
        <f>=Портфель!G42*Портфель!$Q$13</f>
      </c>
      <c r="DP19" s="0" t="s">
        <v>6</v>
      </c>
      <c r="DQ19" s="0"/>
      <c r="DR19" s="0"/>
      <c r="DS19" s="0"/>
      <c r="DT19" s="0"/>
      <c r="DU19" s="5" t="s">
        <f>=DU16*(DU17*DU15/100-DU14+DU18)</f>
      </c>
      <c r="DV19" s="0" t="s">
        <v>1051</v>
      </c>
      <c r="DW19" s="0"/>
      <c r="DX19" s="6" t="s">
        <f>=Портфель!G45*Портфель!$Q$13</f>
      </c>
      <c r="DY19" s="0" t="s">
        <v>6</v>
      </c>
    </row>
    <row collapsed="false" customFormat="false" customHeight="false" hidden="false" ht="12.1" outlineLevel="0" r="20">
      <c r="A20" s="11" t="n">
        <v>45931</v>
      </c>
      <c r="B20" s="6" t="n">
        <v>31</v>
      </c>
      <c r="C20" s="6" t="n">
        <v>9017.9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45351</v>
      </c>
      <c r="BY20" s="6" t="n">
        <v>1</v>
      </c>
      <c r="BZ20" s="6" t="n">
        <v>544.85</v>
      </c>
      <c r="CA20" s="0"/>
      <c r="CB20" s="5" t="s">
        <f>=CB17*(CB18*CB16/100-CB15+CB19)</f>
      </c>
      <c r="CC20" s="0" t="s">
        <v>1051</v>
      </c>
      <c r="CD20" s="0"/>
      <c r="CE20" s="6" t="n">
        <v>19</v>
      </c>
      <c r="CF20" s="0" t="s">
        <v>1050</v>
      </c>
      <c r="CG20" s="0"/>
      <c r="CH20" s="6" t="n">
        <v>60.009</v>
      </c>
      <c r="CI20" s="0" t="s">
        <v>1049</v>
      </c>
      <c r="CJ20" s="0"/>
      <c r="CK20" s="6" t="s">
        <f>=Портфель!H32*Портфель!$Q$13</f>
      </c>
      <c r="CL20" s="0" t="s">
        <v>7</v>
      </c>
      <c r="CM20" s="0"/>
      <c r="CN20" s="6" t="s">
        <f>=Портфель!H33*Портфель!$Q$13</f>
      </c>
      <c r="CO20" s="0" t="s">
        <v>7</v>
      </c>
      <c r="CP20" s="0"/>
      <c r="CQ20" s="6" t="n">
        <v>17</v>
      </c>
      <c r="CR20" s="0" t="s">
        <v>1050</v>
      </c>
      <c r="CS20" s="0"/>
      <c r="CT20" s="6" t="n">
        <v>18</v>
      </c>
      <c r="CU20" s="0" t="s">
        <v>1050</v>
      </c>
      <c r="CV20" s="0"/>
      <c r="CW20" s="0"/>
      <c r="CX20" s="0"/>
      <c r="CY20" s="0"/>
      <c r="CZ20" s="6" t="n">
        <v>19</v>
      </c>
      <c r="DA20" s="0" t="s">
        <v>1050</v>
      </c>
      <c r="DB20" s="0"/>
      <c r="DC20" s="5" t="s">
        <f>=DC17*(DC18*DC16/100-DC15+DC19)</f>
      </c>
      <c r="DD20" s="0" t="s">
        <v>1051</v>
      </c>
      <c r="DE20" s="0"/>
      <c r="DF20" s="5" t="s">
        <f>=DF17*(DF18*DF16/100-DF15+DF19)</f>
      </c>
      <c r="DG20" s="0" t="s">
        <v>1051</v>
      </c>
      <c r="DH20" s="0"/>
      <c r="DI20" s="0"/>
      <c r="DJ20" s="0"/>
      <c r="DK20" s="0"/>
      <c r="DL20" s="5" t="s">
        <f>=DL17*(DL18*DL16/100-DL15+DL19)</f>
      </c>
      <c r="DM20" s="0" t="s">
        <v>1051</v>
      </c>
      <c r="DN20" s="0"/>
      <c r="DO20" s="6" t="s">
        <f>=Портфель!H42*Портфель!$Q$13</f>
      </c>
      <c r="DP20" s="0" t="s">
        <v>7</v>
      </c>
      <c r="DQ20" s="0"/>
      <c r="DR20" s="0"/>
      <c r="DS20" s="0"/>
      <c r="DT20" s="0"/>
      <c r="DU20" s="0"/>
      <c r="DV20" s="0"/>
      <c r="DW20" s="0"/>
      <c r="DX20" s="6" t="s">
        <f>=Портфель!H45*Портфель!$Q$13</f>
      </c>
      <c r="DY20" s="0" t="s">
        <v>7</v>
      </c>
    </row>
    <row collapsed="false" customFormat="false" customHeight="false" hidden="false" ht="12.1" outlineLevel="0" r="21">
      <c r="A21" s="11" t="n">
        <v>45988</v>
      </c>
      <c r="B21" s="6" t="n">
        <v>19</v>
      </c>
      <c r="C21" s="6" t="n">
        <v>5807.24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45356</v>
      </c>
      <c r="BY21" s="6" t="n">
        <v>1</v>
      </c>
      <c r="BZ21" s="6" t="n">
        <v>599.57</v>
      </c>
      <c r="CA21" s="0"/>
      <c r="CB21" s="0"/>
      <c r="CC21" s="0"/>
      <c r="CD21" s="0"/>
      <c r="CE21" s="6" t="s">
        <f>=Портфель!G30*Портфель!$Q$13</f>
      </c>
      <c r="CF21" s="0" t="s">
        <v>6</v>
      </c>
      <c r="CG21" s="0"/>
      <c r="CH21" s="6" t="n">
        <v>23</v>
      </c>
      <c r="CI21" s="0" t="s">
        <v>1050</v>
      </c>
      <c r="CJ21" s="0"/>
      <c r="CK21" s="5" t="s">
        <f>=CK18*(CK19*CK17/100-CK16+CK20)</f>
      </c>
      <c r="CL21" s="0" t="s">
        <v>1051</v>
      </c>
      <c r="CM21" s="0"/>
      <c r="CN21" s="5" t="s">
        <f>=CN18*(CN19*CN17/100-CN16+CN20)</f>
      </c>
      <c r="CO21" s="0" t="s">
        <v>1051</v>
      </c>
      <c r="CP21" s="0"/>
      <c r="CQ21" s="6" t="s">
        <f>=Портфель!G34*Портфель!$Q$13</f>
      </c>
      <c r="CR21" s="0" t="s">
        <v>6</v>
      </c>
      <c r="CS21" s="0"/>
      <c r="CT21" s="6" t="s">
        <f>=Портфель!G35*Портфель!$Q$13</f>
      </c>
      <c r="CU21" s="0" t="s">
        <v>6</v>
      </c>
      <c r="CV21" s="0"/>
      <c r="CW21" s="0"/>
      <c r="CX21" s="0"/>
      <c r="CY21" s="0"/>
      <c r="CZ21" s="6" t="s">
        <f>=Портфель!G37*Портфель!$Q$13</f>
      </c>
      <c r="DA21" s="0" t="s">
        <v>6</v>
      </c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5" t="s">
        <f>=DO18*(DO19*DO17/100-DO16+DO20)</f>
      </c>
      <c r="DP21" s="0" t="s">
        <v>1051</v>
      </c>
      <c r="DQ21" s="0"/>
      <c r="DR21" s="0"/>
      <c r="DS21" s="0"/>
      <c r="DT21" s="0"/>
      <c r="DU21" s="0"/>
      <c r="DV21" s="0"/>
      <c r="DW21" s="0"/>
      <c r="DX21" s="5" t="s">
        <f>=DX18*(DX19*DX17/100-DX16+DX20)</f>
      </c>
      <c r="DY21" s="0" t="s">
        <v>1051</v>
      </c>
    </row>
    <row collapsed="false" customFormat="false" customHeight="false" hidden="false" ht="12.1" outlineLevel="0" r="22">
      <c r="A22" s="0"/>
      <c r="B22" s="5" t="s">
        <f>=SUM(C2:C21)/SUM(B2:B21)</f>
      </c>
      <c r="C22" s="0" t="s">
        <v>11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45387</v>
      </c>
      <c r="BY22" s="6" t="n">
        <v>1</v>
      </c>
      <c r="BZ22" s="6" t="n">
        <v>603.79</v>
      </c>
      <c r="CA22" s="0"/>
      <c r="CB22" s="0"/>
      <c r="CC22" s="0"/>
      <c r="CD22" s="0"/>
      <c r="CE22" s="6" t="s">
        <f>=Портфель!H30*Портфель!$Q$13</f>
      </c>
      <c r="CF22" s="0" t="s">
        <v>7</v>
      </c>
      <c r="CG22" s="0"/>
      <c r="CH22" s="6" t="s">
        <f>=Портфель!G31*Портфель!$Q$13</f>
      </c>
      <c r="CI22" s="0" t="s">
        <v>6</v>
      </c>
      <c r="CJ22" s="0"/>
      <c r="CK22" s="0"/>
      <c r="CL22" s="0"/>
      <c r="CM22" s="0"/>
      <c r="CN22" s="0"/>
      <c r="CO22" s="0"/>
      <c r="CP22" s="0"/>
      <c r="CQ22" s="6" t="s">
        <f>=Портфель!H34*Портфель!$Q$13</f>
      </c>
      <c r="CR22" s="0" t="s">
        <v>7</v>
      </c>
      <c r="CS22" s="0"/>
      <c r="CT22" s="6" t="s">
        <f>=Портфель!H35*Портфель!$Q$13</f>
      </c>
      <c r="CU22" s="0" t="s">
        <v>7</v>
      </c>
      <c r="CV22" s="0"/>
      <c r="CW22" s="0"/>
      <c r="CX22" s="0"/>
      <c r="CY22" s="0"/>
      <c r="CZ22" s="6" t="s">
        <f>=Портфель!H37*Портфель!$Q$13</f>
      </c>
      <c r="DA22" s="0" t="s">
        <v>7</v>
      </c>
    </row>
    <row collapsed="false" customFormat="false" customHeight="false" hidden="false" ht="12.1" outlineLevel="0" r="23">
      <c r="A23" s="0"/>
      <c r="B23" s="6" t="n">
        <v>316.3</v>
      </c>
      <c r="C23" s="0" t="s">
        <v>1049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45447</v>
      </c>
      <c r="BY23" s="6" t="n">
        <v>1</v>
      </c>
      <c r="BZ23" s="6" t="n">
        <v>580.01</v>
      </c>
      <c r="CA23" s="0"/>
      <c r="CB23" s="0"/>
      <c r="CC23" s="0"/>
      <c r="CD23" s="0"/>
      <c r="CE23" s="5" t="s">
        <f>=CE20*(CE21*CE19/100-CE18+CE22)</f>
      </c>
      <c r="CF23" s="0" t="s">
        <v>1051</v>
      </c>
      <c r="CG23" s="0"/>
      <c r="CH23" s="6" t="s">
        <f>=Портфель!H31*Портфель!$Q$13</f>
      </c>
      <c r="CI23" s="0" t="s">
        <v>7</v>
      </c>
      <c r="CJ23" s="0"/>
      <c r="CK23" s="0"/>
      <c r="CL23" s="0"/>
      <c r="CM23" s="0"/>
      <c r="CN23" s="0"/>
      <c r="CO23" s="0"/>
      <c r="CP23" s="0"/>
      <c r="CQ23" s="5" t="s">
        <f>=CQ20*(CQ21*CQ19/100-CQ18+CQ22)</f>
      </c>
      <c r="CR23" s="0" t="s">
        <v>1051</v>
      </c>
      <c r="CS23" s="0"/>
      <c r="CT23" s="5" t="s">
        <f>=CT20*(CT21*CT19/100-CT18+CT22)</f>
      </c>
      <c r="CU23" s="0" t="s">
        <v>1051</v>
      </c>
      <c r="CV23" s="0"/>
      <c r="CW23" s="0"/>
      <c r="CX23" s="0"/>
      <c r="CY23" s="0"/>
      <c r="CZ23" s="5" t="s">
        <f>=CZ20*(CZ21*CZ19/100-CZ18+CZ22)</f>
      </c>
      <c r="DA23" s="0" t="s">
        <v>1051</v>
      </c>
    </row>
    <row collapsed="false" customFormat="false" customHeight="false" hidden="false" ht="12.1" outlineLevel="0" r="24">
      <c r="A24" s="0"/>
      <c r="B24" s="6" t="n">
        <v>270</v>
      </c>
      <c r="C24" s="0" t="s">
        <v>1050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5" t="s">
        <f>=SUM(BZ2:BZ23)/SUM(BY2:BY23)</f>
      </c>
      <c r="BZ24" s="0" t="s">
        <v>11</v>
      </c>
      <c r="CA24" s="0"/>
      <c r="CB24" s="0"/>
      <c r="CC24" s="0"/>
      <c r="CD24" s="0"/>
      <c r="CE24" s="0"/>
      <c r="CF24" s="0"/>
      <c r="CG24" s="0"/>
      <c r="CH24" s="5" t="s">
        <f>=CH21*(CH22*CH20/100-CH19+CH23)</f>
      </c>
      <c r="CI24" s="0" t="s">
        <v>1051</v>
      </c>
    </row>
    <row collapsed="false" customFormat="false" customHeight="false" hidden="false" ht="12.1" outlineLevel="0" r="25">
      <c r="A25" s="0"/>
      <c r="B25" s="5" t="s">
        <f>=B24*(ABS(B23)-ABS(B22))</f>
      </c>
      <c r="C25" s="0" t="s">
        <v>1051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6" t="n">
        <v>59.6</v>
      </c>
      <c r="BZ25" s="0" t="s">
        <v>1049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6" t="n">
        <v>34</v>
      </c>
      <c r="BZ26" s="0" t="s">
        <v>1050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6" t="s">
        <f>=Портфель!G28*Портфель!$Q$13</f>
      </c>
      <c r="BZ27" s="0" t="s">
        <v>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6" t="s">
        <f>=Портфель!H28*Портфель!$Q$13</f>
      </c>
      <c r="BZ28" s="0" t="s">
        <v>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5" t="s">
        <f>=BY26*(BY27*BY25/100-BY24+BY28)</f>
      </c>
      <c r="BZ29" s="0" t="s">
        <v>1051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342</v>
      </c>
      <c r="B1" s="18" t="s">
        <v>0</v>
      </c>
      <c r="C1" s="18" t="s">
        <v>2</v>
      </c>
      <c r="D1" s="18" t="s">
        <v>1052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1053</v>
      </c>
      <c r="L1" s="18" t="s">
        <v>1054</v>
      </c>
      <c r="M1" s="18" t="s">
        <v>19</v>
      </c>
      <c r="N1" s="18" t="s">
        <v>41</v>
      </c>
      <c r="O1" s="18" t="s">
        <v>1055</v>
      </c>
    </row>
    <row collapsed="false" customFormat="false" customHeight="false" hidden="false" ht="12.1" outlineLevel="0" r="2">
      <c r="A2" s="21" t="n">
        <v>44692.29755787</v>
      </c>
      <c r="B2" s="22" t="s">
        <v>1056</v>
      </c>
      <c r="C2" s="22" t="s">
        <v>350</v>
      </c>
      <c r="D2" s="22" t="s">
        <v>1056</v>
      </c>
      <c r="E2" s="22" t="s">
        <v>1056</v>
      </c>
      <c r="F2" s="22" t="s">
        <v>19</v>
      </c>
      <c r="G2" s="23" t="n">
        <v>1</v>
      </c>
      <c r="H2" s="24" t="n">
        <v>1</v>
      </c>
      <c r="I2" s="24" t="n">
        <v>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44692.434421296</v>
      </c>
      <c r="B3" s="22" t="s">
        <v>1056</v>
      </c>
      <c r="C3" s="22" t="s">
        <v>350</v>
      </c>
      <c r="D3" s="22" t="s">
        <v>1056</v>
      </c>
      <c r="E3" s="22" t="s">
        <v>1056</v>
      </c>
      <c r="F3" s="22" t="s">
        <v>19</v>
      </c>
      <c r="G3" s="23" t="n">
        <v>1</v>
      </c>
      <c r="H3" s="24" t="n">
        <v>1</v>
      </c>
      <c r="I3" s="24" t="n">
        <v>1510.65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44692.469664352</v>
      </c>
      <c r="B4" s="16" t="s">
        <v>915</v>
      </c>
      <c r="C4" s="16" t="s">
        <v>1057</v>
      </c>
      <c r="D4" s="16" t="s">
        <v>912</v>
      </c>
      <c r="E4" s="16" t="s">
        <v>85</v>
      </c>
      <c r="F4" s="16" t="s">
        <v>19</v>
      </c>
      <c r="G4" s="7" t="n">
        <v>1</v>
      </c>
      <c r="H4" s="6" t="n">
        <v>100.05</v>
      </c>
      <c r="I4" s="6" t="n">
        <v>-1000.5</v>
      </c>
      <c r="J4" s="6" t="n">
        <v>-6.6</v>
      </c>
      <c r="K4" s="6" t="n">
        <v>-3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44693.291979167</v>
      </c>
      <c r="B5" s="22" t="s">
        <v>1056</v>
      </c>
      <c r="C5" s="22" t="s">
        <v>350</v>
      </c>
      <c r="D5" s="22" t="s">
        <v>1056</v>
      </c>
      <c r="E5" s="22" t="s">
        <v>1056</v>
      </c>
      <c r="F5" s="22" t="s">
        <v>19</v>
      </c>
      <c r="G5" s="23" t="n">
        <v>1</v>
      </c>
      <c r="H5" s="24" t="n">
        <v>1</v>
      </c>
      <c r="I5" s="24" t="n">
        <v>100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1" t="n">
        <v>44693.50037037</v>
      </c>
      <c r="B6" s="22" t="s">
        <v>1056</v>
      </c>
      <c r="C6" s="22" t="s">
        <v>350</v>
      </c>
      <c r="D6" s="22" t="s">
        <v>1056</v>
      </c>
      <c r="E6" s="22" t="s">
        <v>1056</v>
      </c>
      <c r="F6" s="22" t="s">
        <v>19</v>
      </c>
      <c r="G6" s="23" t="n">
        <v>1</v>
      </c>
      <c r="H6" s="24" t="n">
        <v>1</v>
      </c>
      <c r="I6" s="24" t="n">
        <v>300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4"/>
      <c r="O6" s="22"/>
    </row>
    <row collapsed="false" customFormat="false" customHeight="false" hidden="false" ht="12.1" outlineLevel="0" r="7">
      <c r="A7" s="20" t="n">
        <v>44693.50755787</v>
      </c>
      <c r="B7" s="16" t="s">
        <v>916</v>
      </c>
      <c r="C7" s="16" t="s">
        <v>1058</v>
      </c>
      <c r="D7" s="16" t="s">
        <v>912</v>
      </c>
      <c r="E7" s="16" t="s">
        <v>85</v>
      </c>
      <c r="F7" s="16" t="s">
        <v>19</v>
      </c>
      <c r="G7" s="7" t="n">
        <v>1</v>
      </c>
      <c r="H7" s="6" t="n">
        <v>87.35</v>
      </c>
      <c r="I7" s="6" t="n">
        <v>-873.5</v>
      </c>
      <c r="J7" s="6" t="n">
        <v>-1.86</v>
      </c>
      <c r="K7" s="6" t="n">
        <v>-2.62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1" t="n">
        <v>44694.718657407</v>
      </c>
      <c r="B8" s="22" t="s">
        <v>1056</v>
      </c>
      <c r="C8" s="22" t="s">
        <v>350</v>
      </c>
      <c r="D8" s="22" t="s">
        <v>1056</v>
      </c>
      <c r="E8" s="22" t="s">
        <v>1056</v>
      </c>
      <c r="F8" s="22" t="s">
        <v>19</v>
      </c>
      <c r="G8" s="23" t="n">
        <v>1</v>
      </c>
      <c r="H8" s="24" t="n">
        <v>1</v>
      </c>
      <c r="I8" s="24" t="n">
        <v>1600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44694.737175926</v>
      </c>
      <c r="B9" s="16" t="s">
        <v>917</v>
      </c>
      <c r="C9" s="16" t="s">
        <v>1059</v>
      </c>
      <c r="D9" s="16" t="s">
        <v>912</v>
      </c>
      <c r="E9" s="16" t="s">
        <v>85</v>
      </c>
      <c r="F9" s="16" t="s">
        <v>19</v>
      </c>
      <c r="G9" s="7" t="n">
        <v>1</v>
      </c>
      <c r="H9" s="6" t="n">
        <v>96.130666666667</v>
      </c>
      <c r="I9" s="6" t="n">
        <v>-720.98</v>
      </c>
      <c r="J9" s="6" t="n">
        <v>-14.49</v>
      </c>
      <c r="K9" s="6" t="n">
        <v>-2.16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44694.749768519</v>
      </c>
      <c r="B10" s="16" t="s">
        <v>918</v>
      </c>
      <c r="C10" s="16" t="s">
        <v>1060</v>
      </c>
      <c r="D10" s="16" t="s">
        <v>912</v>
      </c>
      <c r="E10" s="16" t="s">
        <v>85</v>
      </c>
      <c r="F10" s="16" t="s">
        <v>19</v>
      </c>
      <c r="G10" s="7" t="n">
        <v>1</v>
      </c>
      <c r="H10" s="6" t="n">
        <v>103.5</v>
      </c>
      <c r="I10" s="6" t="n">
        <v>-828</v>
      </c>
      <c r="J10" s="6" t="n">
        <v>-11.97</v>
      </c>
      <c r="K10" s="6" t="n">
        <v>-2.48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1" t="n">
        <v>44699.425381944</v>
      </c>
      <c r="B11" s="22" t="s">
        <v>1056</v>
      </c>
      <c r="C11" s="22" t="s">
        <v>350</v>
      </c>
      <c r="D11" s="22" t="s">
        <v>1056</v>
      </c>
      <c r="E11" s="22" t="s">
        <v>1056</v>
      </c>
      <c r="F11" s="22" t="s">
        <v>19</v>
      </c>
      <c r="G11" s="23" t="n">
        <v>1</v>
      </c>
      <c r="H11" s="24" t="n">
        <v>1</v>
      </c>
      <c r="I11" s="24" t="n">
        <v>1000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4"/>
      <c r="O11" s="22"/>
    </row>
    <row collapsed="false" customFormat="false" customHeight="false" hidden="false" ht="12.1" outlineLevel="0" r="12">
      <c r="A12" s="20" t="n">
        <v>44699.478009259</v>
      </c>
      <c r="B12" s="16" t="s">
        <v>103</v>
      </c>
      <c r="C12" s="16" t="s">
        <v>1061</v>
      </c>
      <c r="D12" s="16" t="s">
        <v>912</v>
      </c>
      <c r="E12" s="16" t="s">
        <v>85</v>
      </c>
      <c r="F12" s="16" t="s">
        <v>19</v>
      </c>
      <c r="G12" s="7" t="n">
        <v>1</v>
      </c>
      <c r="H12" s="6" t="n">
        <v>75.818</v>
      </c>
      <c r="I12" s="6" t="n">
        <v>-758.18</v>
      </c>
      <c r="J12" s="6" t="n">
        <v>-9.21</v>
      </c>
      <c r="K12" s="6" t="n">
        <v>-2.27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44699.609849537</v>
      </c>
      <c r="B13" s="16" t="s">
        <v>77</v>
      </c>
      <c r="C13" s="16" t="s">
        <v>1062</v>
      </c>
      <c r="D13" s="16" t="s">
        <v>912</v>
      </c>
      <c r="E13" s="16" t="s">
        <v>17</v>
      </c>
      <c r="F13" s="16" t="s">
        <v>19</v>
      </c>
      <c r="G13" s="7" t="n">
        <v>10</v>
      </c>
      <c r="H13" s="6" t="n">
        <v>45.32</v>
      </c>
      <c r="I13" s="6" t="n">
        <v>-453.2</v>
      </c>
      <c r="J13" s="6" t="n">
        <v>0</v>
      </c>
      <c r="K13" s="6" t="n">
        <v>-1.36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1" t="n">
        <v>44706.506296296</v>
      </c>
      <c r="B14" s="22" t="s">
        <v>1056</v>
      </c>
      <c r="C14" s="22" t="s">
        <v>350</v>
      </c>
      <c r="D14" s="22" t="s">
        <v>1056</v>
      </c>
      <c r="E14" s="22" t="s">
        <v>1056</v>
      </c>
      <c r="F14" s="22" t="s">
        <v>19</v>
      </c>
      <c r="G14" s="23" t="n">
        <v>1</v>
      </c>
      <c r="H14" s="24" t="n">
        <v>1</v>
      </c>
      <c r="I14" s="24" t="n">
        <v>43.77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4"/>
      <c r="O14" s="22"/>
    </row>
    <row collapsed="false" customFormat="false" customHeight="false" hidden="false" ht="12.1" outlineLevel="0" r="15">
      <c r="A15" s="21" t="n">
        <v>44707.818576389</v>
      </c>
      <c r="B15" s="22" t="s">
        <v>1063</v>
      </c>
      <c r="C15" s="22" t="s">
        <v>1064</v>
      </c>
      <c r="D15" s="22" t="s">
        <v>1063</v>
      </c>
      <c r="E15" s="22" t="s">
        <v>1063</v>
      </c>
      <c r="F15" s="22" t="s">
        <v>19</v>
      </c>
      <c r="G15" s="23" t="n">
        <v>1</v>
      </c>
      <c r="H15" s="24" t="n">
        <v>1</v>
      </c>
      <c r="I15" s="24" t="n">
        <v>16.08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4"/>
      <c r="O15" s="22"/>
    </row>
    <row collapsed="false" customFormat="false" customHeight="false" hidden="false" ht="12.1" outlineLevel="0" r="16">
      <c r="A16" s="21" t="n">
        <v>44708.634189815</v>
      </c>
      <c r="B16" s="22" t="s">
        <v>1056</v>
      </c>
      <c r="C16" s="22" t="s">
        <v>350</v>
      </c>
      <c r="D16" s="22" t="s">
        <v>1056</v>
      </c>
      <c r="E16" s="22" t="s">
        <v>1056</v>
      </c>
      <c r="F16" s="22" t="s">
        <v>19</v>
      </c>
      <c r="G16" s="23" t="n">
        <v>1</v>
      </c>
      <c r="H16" s="24" t="n">
        <v>1</v>
      </c>
      <c r="I16" s="24" t="n">
        <v>3000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0" t="n">
        <v>44708.635358796</v>
      </c>
      <c r="B17" s="16" t="s">
        <v>84</v>
      </c>
      <c r="C17" s="16" t="s">
        <v>1065</v>
      </c>
      <c r="D17" s="16" t="s">
        <v>912</v>
      </c>
      <c r="E17" s="16" t="s">
        <v>85</v>
      </c>
      <c r="F17" s="16" t="s">
        <v>19</v>
      </c>
      <c r="G17" s="7" t="n">
        <v>1</v>
      </c>
      <c r="H17" s="6" t="n">
        <v>76.499</v>
      </c>
      <c r="I17" s="6" t="n">
        <v>-764.99</v>
      </c>
      <c r="J17" s="6" t="n">
        <v>-19.56</v>
      </c>
      <c r="K17" s="6" t="n">
        <v>-2.29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44708.636168981</v>
      </c>
      <c r="B18" s="16" t="s">
        <v>136</v>
      </c>
      <c r="C18" s="16" t="s">
        <v>1066</v>
      </c>
      <c r="D18" s="16" t="s">
        <v>912</v>
      </c>
      <c r="E18" s="16" t="s">
        <v>85</v>
      </c>
      <c r="F18" s="16" t="s">
        <v>19</v>
      </c>
      <c r="G18" s="7" t="n">
        <v>1</v>
      </c>
      <c r="H18" s="6" t="n">
        <v>85.45</v>
      </c>
      <c r="I18" s="6" t="n">
        <v>-854.5</v>
      </c>
      <c r="J18" s="6" t="n">
        <v>-0.99000000000001</v>
      </c>
      <c r="K18" s="6" t="n">
        <v>-2.56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44708.63662037</v>
      </c>
      <c r="B19" s="16" t="s">
        <v>109</v>
      </c>
      <c r="C19" s="16" t="s">
        <v>1067</v>
      </c>
      <c r="D19" s="16" t="s">
        <v>912</v>
      </c>
      <c r="E19" s="16" t="s">
        <v>85</v>
      </c>
      <c r="F19" s="16" t="s">
        <v>19</v>
      </c>
      <c r="G19" s="7" t="n">
        <v>1</v>
      </c>
      <c r="H19" s="6" t="n">
        <v>105.695</v>
      </c>
      <c r="I19" s="6" t="n">
        <v>-1056.95</v>
      </c>
      <c r="J19" s="6" t="n">
        <v>-4.53</v>
      </c>
      <c r="K19" s="6" t="n">
        <v>-3.17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1" t="n">
        <v>44708.71693287</v>
      </c>
      <c r="B20" s="22" t="s">
        <v>1056</v>
      </c>
      <c r="C20" s="22" t="s">
        <v>350</v>
      </c>
      <c r="D20" s="22" t="s">
        <v>1056</v>
      </c>
      <c r="E20" s="22" t="s">
        <v>1056</v>
      </c>
      <c r="F20" s="22" t="s">
        <v>19</v>
      </c>
      <c r="G20" s="23" t="n">
        <v>1</v>
      </c>
      <c r="H20" s="24" t="n">
        <v>1</v>
      </c>
      <c r="I20" s="24" t="n">
        <v>100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0" t="n">
        <v>44708.71724537</v>
      </c>
      <c r="B21" s="16" t="s">
        <v>919</v>
      </c>
      <c r="C21" s="16" t="s">
        <v>1068</v>
      </c>
      <c r="D21" s="16" t="s">
        <v>912</v>
      </c>
      <c r="E21" s="16" t="s">
        <v>17</v>
      </c>
      <c r="F21" s="16" t="s">
        <v>19</v>
      </c>
      <c r="G21" s="7" t="n">
        <v>1</v>
      </c>
      <c r="H21" s="6" t="n">
        <v>395.5</v>
      </c>
      <c r="I21" s="6" t="n">
        <v>-395.5</v>
      </c>
      <c r="J21" s="6" t="n">
        <v>0</v>
      </c>
      <c r="K21" s="6" t="n">
        <v>-1.19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44739.58806713</v>
      </c>
      <c r="B22" s="22" t="s">
        <v>1056</v>
      </c>
      <c r="C22" s="22" t="s">
        <v>350</v>
      </c>
      <c r="D22" s="22" t="s">
        <v>1056</v>
      </c>
      <c r="E22" s="22" t="s">
        <v>1056</v>
      </c>
      <c r="F22" s="22" t="s">
        <v>19</v>
      </c>
      <c r="G22" s="23" t="n">
        <v>1</v>
      </c>
      <c r="H22" s="24" t="n">
        <v>1</v>
      </c>
      <c r="I22" s="24" t="n">
        <v>1000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1" t="n">
        <v>44739.601701389</v>
      </c>
      <c r="B23" s="22" t="s">
        <v>1056</v>
      </c>
      <c r="C23" s="22" t="s">
        <v>350</v>
      </c>
      <c r="D23" s="22" t="s">
        <v>1056</v>
      </c>
      <c r="E23" s="22" t="s">
        <v>1056</v>
      </c>
      <c r="F23" s="22" t="s">
        <v>19</v>
      </c>
      <c r="G23" s="23" t="n">
        <v>1</v>
      </c>
      <c r="H23" s="24" t="n">
        <v>1</v>
      </c>
      <c r="I23" s="24" t="n">
        <v>100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0" t="n">
        <v>44739.602569444</v>
      </c>
      <c r="B24" s="16" t="s">
        <v>88</v>
      </c>
      <c r="C24" s="16" t="s">
        <v>1069</v>
      </c>
      <c r="D24" s="16" t="s">
        <v>912</v>
      </c>
      <c r="E24" s="16" t="s">
        <v>85</v>
      </c>
      <c r="F24" s="16" t="s">
        <v>19</v>
      </c>
      <c r="G24" s="7" t="n">
        <v>1</v>
      </c>
      <c r="H24" s="6" t="n">
        <v>110.2</v>
      </c>
      <c r="I24" s="6" t="n">
        <v>-1102</v>
      </c>
      <c r="J24" s="6" t="n">
        <v>-2.4000000000001</v>
      </c>
      <c r="K24" s="6" t="n">
        <v>-3.31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44742.446469907</v>
      </c>
      <c r="B25" s="22" t="s">
        <v>1056</v>
      </c>
      <c r="C25" s="22" t="s">
        <v>350</v>
      </c>
      <c r="D25" s="22" t="s">
        <v>1056</v>
      </c>
      <c r="E25" s="22" t="s">
        <v>1056</v>
      </c>
      <c r="F25" s="22" t="s">
        <v>19</v>
      </c>
      <c r="G25" s="23" t="n">
        <v>1</v>
      </c>
      <c r="H25" s="24" t="n">
        <v>1</v>
      </c>
      <c r="I25" s="24" t="n">
        <v>1100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4"/>
      <c r="O25" s="22"/>
    </row>
    <row collapsed="false" customFormat="false" customHeight="false" hidden="false" ht="12.1" outlineLevel="0" r="26">
      <c r="A26" s="20" t="n">
        <v>44742.446770833</v>
      </c>
      <c r="B26" s="16" t="s">
        <v>73</v>
      </c>
      <c r="C26" s="16" t="s">
        <v>1070</v>
      </c>
      <c r="D26" s="16" t="s">
        <v>912</v>
      </c>
      <c r="E26" s="16" t="s">
        <v>17</v>
      </c>
      <c r="F26" s="16" t="s">
        <v>19</v>
      </c>
      <c r="G26" s="7" t="n">
        <v>1</v>
      </c>
      <c r="H26" s="6" t="n">
        <v>1028</v>
      </c>
      <c r="I26" s="6" t="n">
        <v>-1028</v>
      </c>
      <c r="J26" s="6" t="n">
        <v>0</v>
      </c>
      <c r="K26" s="6" t="n">
        <v>-3.08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1" t="n">
        <v>44746.468020833</v>
      </c>
      <c r="B27" s="22" t="s">
        <v>1056</v>
      </c>
      <c r="C27" s="22" t="s">
        <v>350</v>
      </c>
      <c r="D27" s="22" t="s">
        <v>1056</v>
      </c>
      <c r="E27" s="22" t="s">
        <v>1056</v>
      </c>
      <c r="F27" s="22" t="s">
        <v>19</v>
      </c>
      <c r="G27" s="23" t="n">
        <v>1</v>
      </c>
      <c r="H27" s="24" t="n">
        <v>1</v>
      </c>
      <c r="I27" s="24" t="n">
        <v>1000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44746.472777778</v>
      </c>
      <c r="B28" s="16" t="s">
        <v>919</v>
      </c>
      <c r="C28" s="16" t="s">
        <v>1068</v>
      </c>
      <c r="D28" s="16" t="s">
        <v>912</v>
      </c>
      <c r="E28" s="16" t="s">
        <v>17</v>
      </c>
      <c r="F28" s="16" t="s">
        <v>19</v>
      </c>
      <c r="G28" s="7" t="n">
        <v>1</v>
      </c>
      <c r="H28" s="6" t="n">
        <v>313.5</v>
      </c>
      <c r="I28" s="6" t="n">
        <v>-313.5</v>
      </c>
      <c r="J28" s="6" t="n">
        <v>0</v>
      </c>
      <c r="K28" s="6" t="n">
        <v>-0.94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44746.473402778</v>
      </c>
      <c r="B29" s="16" t="s">
        <v>77</v>
      </c>
      <c r="C29" s="16" t="s">
        <v>1062</v>
      </c>
      <c r="D29" s="16" t="s">
        <v>912</v>
      </c>
      <c r="E29" s="16" t="s">
        <v>17</v>
      </c>
      <c r="F29" s="16" t="s">
        <v>19</v>
      </c>
      <c r="G29" s="7" t="n">
        <v>10</v>
      </c>
      <c r="H29" s="6" t="n">
        <v>32.035</v>
      </c>
      <c r="I29" s="6" t="n">
        <v>-320.35</v>
      </c>
      <c r="J29" s="6" t="n">
        <v>0</v>
      </c>
      <c r="K29" s="6" t="n">
        <v>-0.96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44746.473969907</v>
      </c>
      <c r="B30" s="22" t="s">
        <v>1056</v>
      </c>
      <c r="C30" s="22" t="s">
        <v>350</v>
      </c>
      <c r="D30" s="22" t="s">
        <v>1056</v>
      </c>
      <c r="E30" s="22" t="s">
        <v>1056</v>
      </c>
      <c r="F30" s="22" t="s">
        <v>19</v>
      </c>
      <c r="G30" s="23" t="n">
        <v>1</v>
      </c>
      <c r="H30" s="24" t="n">
        <v>1</v>
      </c>
      <c r="I30" s="24" t="n">
        <v>800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4"/>
      <c r="O30" s="22"/>
    </row>
    <row collapsed="false" customFormat="false" customHeight="false" hidden="false" ht="12.1" outlineLevel="0" r="31">
      <c r="A31" s="20" t="n">
        <v>44746.499444444</v>
      </c>
      <c r="B31" s="16" t="s">
        <v>88</v>
      </c>
      <c r="C31" s="16" t="s">
        <v>1069</v>
      </c>
      <c r="D31" s="16" t="s">
        <v>912</v>
      </c>
      <c r="E31" s="16" t="s">
        <v>85</v>
      </c>
      <c r="F31" s="16" t="s">
        <v>19</v>
      </c>
      <c r="G31" s="7" t="n">
        <v>1</v>
      </c>
      <c r="H31" s="6" t="n">
        <v>110.25</v>
      </c>
      <c r="I31" s="6" t="n">
        <v>-1102.5</v>
      </c>
      <c r="J31" s="6" t="n">
        <v>-5.21</v>
      </c>
      <c r="K31" s="6" t="n">
        <v>-3.31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44748.449386574</v>
      </c>
      <c r="B32" s="22" t="s">
        <v>1056</v>
      </c>
      <c r="C32" s="22" t="s">
        <v>350</v>
      </c>
      <c r="D32" s="22" t="s">
        <v>1056</v>
      </c>
      <c r="E32" s="22" t="s">
        <v>1056</v>
      </c>
      <c r="F32" s="22" t="s">
        <v>19</v>
      </c>
      <c r="G32" s="23" t="n">
        <v>1</v>
      </c>
      <c r="H32" s="24" t="n">
        <v>1</v>
      </c>
      <c r="I32" s="24" t="n">
        <v>100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44748.452789352</v>
      </c>
      <c r="B33" s="16" t="s">
        <v>51</v>
      </c>
      <c r="C33" s="16" t="s">
        <v>1071</v>
      </c>
      <c r="D33" s="16" t="s">
        <v>912</v>
      </c>
      <c r="E33" s="16" t="s">
        <v>17</v>
      </c>
      <c r="F33" s="16" t="s">
        <v>19</v>
      </c>
      <c r="G33" s="7" t="n">
        <v>10000</v>
      </c>
      <c r="H33" s="6" t="n">
        <v>0.018925</v>
      </c>
      <c r="I33" s="6" t="n">
        <v>-189.25</v>
      </c>
      <c r="J33" s="6" t="n">
        <v>0</v>
      </c>
      <c r="K33" s="6" t="n">
        <v>-0.57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1" t="n">
        <v>44750.521018519</v>
      </c>
      <c r="B34" s="22" t="s">
        <v>1063</v>
      </c>
      <c r="C34" s="22" t="s">
        <v>1072</v>
      </c>
      <c r="D34" s="22" t="s">
        <v>1063</v>
      </c>
      <c r="E34" s="22" t="s">
        <v>1063</v>
      </c>
      <c r="F34" s="22" t="s">
        <v>19</v>
      </c>
      <c r="G34" s="23" t="n">
        <v>1</v>
      </c>
      <c r="H34" s="24" t="n">
        <v>1</v>
      </c>
      <c r="I34" s="24" t="n">
        <v>27.92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1" t="n">
        <v>44750.523553241</v>
      </c>
      <c r="B35" s="22" t="s">
        <v>1073</v>
      </c>
      <c r="C35" s="22" t="s">
        <v>1074</v>
      </c>
      <c r="D35" s="22" t="s">
        <v>1073</v>
      </c>
      <c r="E35" s="22" t="s">
        <v>1073</v>
      </c>
      <c r="F35" s="22" t="s">
        <v>19</v>
      </c>
      <c r="G35" s="23" t="n">
        <v>1</v>
      </c>
      <c r="H35" s="24" t="n">
        <v>1</v>
      </c>
      <c r="I35" s="24" t="n">
        <v>200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0" t="n">
        <v>44750.553599537</v>
      </c>
      <c r="B36" s="16" t="s">
        <v>920</v>
      </c>
      <c r="C36" s="16" t="s">
        <v>1075</v>
      </c>
      <c r="D36" s="16" t="s">
        <v>912</v>
      </c>
      <c r="E36" s="16" t="s">
        <v>17</v>
      </c>
      <c r="F36" s="16" t="s">
        <v>19</v>
      </c>
      <c r="G36" s="7" t="n">
        <v>1</v>
      </c>
      <c r="H36" s="6" t="n">
        <v>312.4</v>
      </c>
      <c r="I36" s="6" t="n">
        <v>-312.4</v>
      </c>
      <c r="J36" s="6" t="n">
        <v>0</v>
      </c>
      <c r="K36" s="6" t="n">
        <v>-0.94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1" t="n">
        <v>44761.4940625</v>
      </c>
      <c r="B37" s="22" t="s">
        <v>1056</v>
      </c>
      <c r="C37" s="22" t="s">
        <v>350</v>
      </c>
      <c r="D37" s="22" t="s">
        <v>1056</v>
      </c>
      <c r="E37" s="22" t="s">
        <v>1056</v>
      </c>
      <c r="F37" s="22" t="s">
        <v>19</v>
      </c>
      <c r="G37" s="23" t="n">
        <v>1</v>
      </c>
      <c r="H37" s="24" t="n">
        <v>1</v>
      </c>
      <c r="I37" s="24" t="n">
        <v>700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4"/>
      <c r="O37" s="22"/>
    </row>
    <row collapsed="false" customFormat="false" customHeight="false" hidden="false" ht="12.1" outlineLevel="0" r="38">
      <c r="A38" s="21" t="n">
        <v>44761.494351852</v>
      </c>
      <c r="B38" s="22" t="s">
        <v>1056</v>
      </c>
      <c r="C38" s="22" t="s">
        <v>350</v>
      </c>
      <c r="D38" s="22" t="s">
        <v>1056</v>
      </c>
      <c r="E38" s="22" t="s">
        <v>1056</v>
      </c>
      <c r="F38" s="22" t="s">
        <v>19</v>
      </c>
      <c r="G38" s="23" t="n">
        <v>1</v>
      </c>
      <c r="H38" s="24" t="n">
        <v>1</v>
      </c>
      <c r="I38" s="24" t="n">
        <v>50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44761.494479167</v>
      </c>
      <c r="B39" s="22" t="s">
        <v>1056</v>
      </c>
      <c r="C39" s="22" t="s">
        <v>350</v>
      </c>
      <c r="D39" s="22" t="s">
        <v>1056</v>
      </c>
      <c r="E39" s="22" t="s">
        <v>1056</v>
      </c>
      <c r="F39" s="22" t="s">
        <v>19</v>
      </c>
      <c r="G39" s="23" t="n">
        <v>1</v>
      </c>
      <c r="H39" s="24" t="n">
        <v>1</v>
      </c>
      <c r="I39" s="24" t="n">
        <v>50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0" t="n">
        <v>44761.494826389</v>
      </c>
      <c r="B40" s="16" t="s">
        <v>48</v>
      </c>
      <c r="C40" s="16" t="s">
        <v>1076</v>
      </c>
      <c r="D40" s="16" t="s">
        <v>912</v>
      </c>
      <c r="E40" s="16" t="s">
        <v>17</v>
      </c>
      <c r="F40" s="16" t="s">
        <v>19</v>
      </c>
      <c r="G40" s="7" t="n">
        <v>1</v>
      </c>
      <c r="H40" s="6" t="n">
        <v>751.5</v>
      </c>
      <c r="I40" s="6" t="n">
        <v>-751.5</v>
      </c>
      <c r="J40" s="6" t="n">
        <v>0</v>
      </c>
      <c r="K40" s="6" t="n">
        <v>-2.25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44769.423657407</v>
      </c>
      <c r="B41" s="22" t="s">
        <v>1056</v>
      </c>
      <c r="C41" s="22" t="s">
        <v>350</v>
      </c>
      <c r="D41" s="22" t="s">
        <v>1056</v>
      </c>
      <c r="E41" s="22" t="s">
        <v>1056</v>
      </c>
      <c r="F41" s="22" t="s">
        <v>19</v>
      </c>
      <c r="G41" s="23" t="n">
        <v>1</v>
      </c>
      <c r="H41" s="24" t="n">
        <v>1</v>
      </c>
      <c r="I41" s="24" t="n">
        <v>2700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0" t="n">
        <v>44769.436793981</v>
      </c>
      <c r="B42" s="16" t="s">
        <v>42</v>
      </c>
      <c r="C42" s="16" t="s">
        <v>1077</v>
      </c>
      <c r="D42" s="16" t="s">
        <v>912</v>
      </c>
      <c r="E42" s="16" t="s">
        <v>17</v>
      </c>
      <c r="F42" s="16" t="s">
        <v>19</v>
      </c>
      <c r="G42" s="7" t="n">
        <v>100</v>
      </c>
      <c r="H42" s="6" t="n">
        <v>3.306</v>
      </c>
      <c r="I42" s="6" t="n">
        <v>-330.6</v>
      </c>
      <c r="J42" s="6" t="n">
        <v>0</v>
      </c>
      <c r="K42" s="6" t="n">
        <v>-0.99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44769.441979167</v>
      </c>
      <c r="B43" s="16" t="s">
        <v>33</v>
      </c>
      <c r="C43" s="16" t="s">
        <v>1078</v>
      </c>
      <c r="D43" s="16" t="s">
        <v>912</v>
      </c>
      <c r="E43" s="16" t="s">
        <v>17</v>
      </c>
      <c r="F43" s="16" t="s">
        <v>19</v>
      </c>
      <c r="G43" s="7" t="n">
        <v>10</v>
      </c>
      <c r="H43" s="6" t="n">
        <v>197.06</v>
      </c>
      <c r="I43" s="6" t="n">
        <v>-1970.6</v>
      </c>
      <c r="J43" s="6" t="n">
        <v>0</v>
      </c>
      <c r="K43" s="6" t="n">
        <v>-5.91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44769.445451389</v>
      </c>
      <c r="B44" s="16" t="s">
        <v>39</v>
      </c>
      <c r="C44" s="16" t="s">
        <v>1079</v>
      </c>
      <c r="D44" s="16" t="s">
        <v>912</v>
      </c>
      <c r="E44" s="16" t="s">
        <v>17</v>
      </c>
      <c r="F44" s="16" t="s">
        <v>19</v>
      </c>
      <c r="G44" s="7" t="n">
        <v>1</v>
      </c>
      <c r="H44" s="6" t="n">
        <v>393.3</v>
      </c>
      <c r="I44" s="6" t="n">
        <v>-393.3</v>
      </c>
      <c r="J44" s="6" t="n">
        <v>0</v>
      </c>
      <c r="K44" s="6" t="n">
        <v>-1.18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1" t="n">
        <v>44774.505381944</v>
      </c>
      <c r="B45" s="22" t="s">
        <v>1063</v>
      </c>
      <c r="C45" s="22" t="s">
        <v>1080</v>
      </c>
      <c r="D45" s="22" t="s">
        <v>1063</v>
      </c>
      <c r="E45" s="22" t="s">
        <v>1063</v>
      </c>
      <c r="F45" s="22" t="s">
        <v>19</v>
      </c>
      <c r="G45" s="23" t="n">
        <v>1</v>
      </c>
      <c r="H45" s="24" t="n">
        <v>1</v>
      </c>
      <c r="I45" s="24" t="n">
        <v>29.03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4"/>
      <c r="O45" s="22"/>
    </row>
    <row collapsed="false" customFormat="false" customHeight="false" hidden="false" ht="12.1" outlineLevel="0" r="46">
      <c r="A46" s="21" t="n">
        <v>44776.530092593</v>
      </c>
      <c r="B46" s="22" t="s">
        <v>1056</v>
      </c>
      <c r="C46" s="22" t="s">
        <v>350</v>
      </c>
      <c r="D46" s="22" t="s">
        <v>1056</v>
      </c>
      <c r="E46" s="22" t="s">
        <v>1056</v>
      </c>
      <c r="F46" s="22" t="s">
        <v>19</v>
      </c>
      <c r="G46" s="23" t="n">
        <v>1</v>
      </c>
      <c r="H46" s="24" t="n">
        <v>1</v>
      </c>
      <c r="I46" s="24" t="n">
        <v>200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0" t="n">
        <v>44776.530335648</v>
      </c>
      <c r="B47" s="16" t="s">
        <v>77</v>
      </c>
      <c r="C47" s="16" t="s">
        <v>1062</v>
      </c>
      <c r="D47" s="16" t="s">
        <v>912</v>
      </c>
      <c r="E47" s="16" t="s">
        <v>17</v>
      </c>
      <c r="F47" s="16" t="s">
        <v>19</v>
      </c>
      <c r="G47" s="7" t="n">
        <v>10</v>
      </c>
      <c r="H47" s="6" t="n">
        <v>24.27</v>
      </c>
      <c r="I47" s="6" t="n">
        <v>-242.7</v>
      </c>
      <c r="J47" s="6" t="n">
        <v>0</v>
      </c>
      <c r="K47" s="6" t="n">
        <v>-0.73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44778.369178241</v>
      </c>
      <c r="B48" s="22" t="s">
        <v>1063</v>
      </c>
      <c r="C48" s="22" t="s">
        <v>1081</v>
      </c>
      <c r="D48" s="22" t="s">
        <v>1063</v>
      </c>
      <c r="E48" s="22" t="s">
        <v>1063</v>
      </c>
      <c r="F48" s="22" t="s">
        <v>19</v>
      </c>
      <c r="G48" s="23" t="n">
        <v>1</v>
      </c>
      <c r="H48" s="24" t="n">
        <v>1</v>
      </c>
      <c r="I48" s="24" t="n">
        <v>30.42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2"/>
    </row>
    <row collapsed="false" customFormat="false" customHeight="false" hidden="false" ht="12.1" outlineLevel="0" r="49">
      <c r="A49" s="21" t="n">
        <v>44784.358252315</v>
      </c>
      <c r="B49" s="22" t="s">
        <v>1056</v>
      </c>
      <c r="C49" s="22" t="s">
        <v>350</v>
      </c>
      <c r="D49" s="22" t="s">
        <v>1056</v>
      </c>
      <c r="E49" s="22" t="s">
        <v>1056</v>
      </c>
      <c r="F49" s="22" t="s">
        <v>19</v>
      </c>
      <c r="G49" s="23" t="n">
        <v>1</v>
      </c>
      <c r="H49" s="24" t="n">
        <v>1</v>
      </c>
      <c r="I49" s="24" t="n">
        <v>3500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20" t="n">
        <v>44784.418425926</v>
      </c>
      <c r="B50" s="16" t="s">
        <v>1082</v>
      </c>
      <c r="C50" s="16" t="s">
        <v>1083</v>
      </c>
      <c r="D50" s="16" t="s">
        <v>912</v>
      </c>
      <c r="E50" s="16" t="s">
        <v>1084</v>
      </c>
      <c r="F50" s="16" t="s">
        <v>19</v>
      </c>
      <c r="G50" s="7" t="n">
        <v>1</v>
      </c>
      <c r="H50" s="6" t="n">
        <v>3451.97</v>
      </c>
      <c r="I50" s="6" t="n">
        <v>-3451.97</v>
      </c>
      <c r="J50" s="6" t="n">
        <v>0</v>
      </c>
      <c r="K50" s="6" t="n">
        <v>-65.59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1" t="n">
        <v>44798.64650463</v>
      </c>
      <c r="B51" s="22" t="s">
        <v>1063</v>
      </c>
      <c r="C51" s="22" t="s">
        <v>1064</v>
      </c>
      <c r="D51" s="22" t="s">
        <v>1063</v>
      </c>
      <c r="E51" s="22" t="s">
        <v>1063</v>
      </c>
      <c r="F51" s="22" t="s">
        <v>19</v>
      </c>
      <c r="G51" s="23" t="n">
        <v>1</v>
      </c>
      <c r="H51" s="24" t="n">
        <v>1</v>
      </c>
      <c r="I51" s="24" t="n">
        <v>16.08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</row>
    <row collapsed="false" customFormat="false" customHeight="false" hidden="false" ht="12.1" outlineLevel="0" r="52">
      <c r="A52" s="21" t="n">
        <v>44810.494699074</v>
      </c>
      <c r="B52" s="22" t="s">
        <v>1056</v>
      </c>
      <c r="C52" s="22" t="s">
        <v>350</v>
      </c>
      <c r="D52" s="22" t="s">
        <v>1056</v>
      </c>
      <c r="E52" s="22" t="s">
        <v>1056</v>
      </c>
      <c r="F52" s="22" t="s">
        <v>19</v>
      </c>
      <c r="G52" s="23" t="n">
        <v>1</v>
      </c>
      <c r="H52" s="24" t="n">
        <v>1</v>
      </c>
      <c r="I52" s="24" t="n">
        <v>107.63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</row>
    <row collapsed="false" customFormat="false" customHeight="false" hidden="false" ht="12.1" outlineLevel="0" r="53">
      <c r="A53" s="21" t="n">
        <v>44826.585439815</v>
      </c>
      <c r="B53" s="22" t="s">
        <v>1063</v>
      </c>
      <c r="C53" s="22" t="s">
        <v>1085</v>
      </c>
      <c r="D53" s="22" t="s">
        <v>1063</v>
      </c>
      <c r="E53" s="22" t="s">
        <v>1063</v>
      </c>
      <c r="F53" s="22" t="s">
        <v>19</v>
      </c>
      <c r="G53" s="23" t="n">
        <v>1</v>
      </c>
      <c r="H53" s="24" t="n">
        <v>1</v>
      </c>
      <c r="I53" s="24" t="n">
        <v>29.42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1" t="n">
        <v>44841.550775463</v>
      </c>
      <c r="B54" s="22" t="s">
        <v>1063</v>
      </c>
      <c r="C54" s="22" t="s">
        <v>1072</v>
      </c>
      <c r="D54" s="22" t="s">
        <v>1063</v>
      </c>
      <c r="E54" s="22" t="s">
        <v>1063</v>
      </c>
      <c r="F54" s="22" t="s">
        <v>19</v>
      </c>
      <c r="G54" s="23" t="n">
        <v>1</v>
      </c>
      <c r="H54" s="24" t="n">
        <v>1</v>
      </c>
      <c r="I54" s="24" t="n">
        <v>20.94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</row>
    <row collapsed="false" customFormat="false" customHeight="false" hidden="false" ht="12.1" outlineLevel="0" r="55">
      <c r="A55" s="21" t="n">
        <v>44858.431550926</v>
      </c>
      <c r="B55" s="22" t="s">
        <v>1056</v>
      </c>
      <c r="C55" s="22" t="s">
        <v>350</v>
      </c>
      <c r="D55" s="22" t="s">
        <v>1056</v>
      </c>
      <c r="E55" s="22" t="s">
        <v>1056</v>
      </c>
      <c r="F55" s="22" t="s">
        <v>19</v>
      </c>
      <c r="G55" s="23" t="n">
        <v>1</v>
      </c>
      <c r="H55" s="24" t="n">
        <v>1</v>
      </c>
      <c r="I55" s="24" t="n">
        <v>1700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4"/>
      <c r="O55" s="22"/>
    </row>
    <row collapsed="false" customFormat="false" customHeight="false" hidden="false" ht="12.1" outlineLevel="0" r="56">
      <c r="A56" s="20" t="n">
        <v>44858.43556713</v>
      </c>
      <c r="B56" s="16" t="s">
        <v>921</v>
      </c>
      <c r="C56" s="16" t="s">
        <v>1086</v>
      </c>
      <c r="D56" s="16" t="s">
        <v>912</v>
      </c>
      <c r="E56" s="16" t="s">
        <v>17</v>
      </c>
      <c r="F56" s="16" t="s">
        <v>19</v>
      </c>
      <c r="G56" s="7" t="n">
        <v>1000</v>
      </c>
      <c r="H56" s="6" t="n">
        <v>0.7435</v>
      </c>
      <c r="I56" s="6" t="n">
        <v>-743.5</v>
      </c>
      <c r="J56" s="6" t="n">
        <v>0</v>
      </c>
      <c r="K56" s="6" t="n">
        <v>-2.23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44858.436493056</v>
      </c>
      <c r="B57" s="16" t="s">
        <v>69</v>
      </c>
      <c r="C57" s="16" t="s">
        <v>1087</v>
      </c>
      <c r="D57" s="16" t="s">
        <v>912</v>
      </c>
      <c r="E57" s="16" t="s">
        <v>17</v>
      </c>
      <c r="F57" s="16" t="s">
        <v>19</v>
      </c>
      <c r="G57" s="7" t="n">
        <v>100</v>
      </c>
      <c r="H57" s="6" t="n">
        <v>6.246</v>
      </c>
      <c r="I57" s="6" t="n">
        <v>-624.6</v>
      </c>
      <c r="J57" s="6" t="n">
        <v>0</v>
      </c>
      <c r="K57" s="6" t="n">
        <v>-1.87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1" t="n">
        <v>44859.648414352</v>
      </c>
      <c r="B58" s="22" t="s">
        <v>1063</v>
      </c>
      <c r="C58" s="22" t="s">
        <v>1088</v>
      </c>
      <c r="D58" s="22" t="s">
        <v>1063</v>
      </c>
      <c r="E58" s="22" t="s">
        <v>1063</v>
      </c>
      <c r="F58" s="22" t="s">
        <v>19</v>
      </c>
      <c r="G58" s="23" t="n">
        <v>1</v>
      </c>
      <c r="H58" s="24" t="n">
        <v>1</v>
      </c>
      <c r="I58" s="24" t="n">
        <v>45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4"/>
      <c r="O58" s="22"/>
    </row>
    <row collapsed="false" customFormat="false" customHeight="false" hidden="false" ht="12.1" outlineLevel="0" r="59">
      <c r="A59" s="25" t="n">
        <v>44859.648414352</v>
      </c>
      <c r="B59" s="26" t="s">
        <v>1089</v>
      </c>
      <c r="C59" s="26" t="s">
        <v>1090</v>
      </c>
      <c r="D59" s="26" t="s">
        <v>1089</v>
      </c>
      <c r="E59" s="26" t="s">
        <v>1089</v>
      </c>
      <c r="F59" s="26" t="s">
        <v>19</v>
      </c>
      <c r="G59" s="27" t="n">
        <v>1</v>
      </c>
      <c r="H59" s="28" t="n">
        <v>-6</v>
      </c>
      <c r="I59" s="28" t="n">
        <v>-6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1" t="n">
        <v>44860.724710648</v>
      </c>
      <c r="B60" s="22" t="s">
        <v>1056</v>
      </c>
      <c r="C60" s="22" t="s">
        <v>350</v>
      </c>
      <c r="D60" s="22" t="s">
        <v>1056</v>
      </c>
      <c r="E60" s="22" t="s">
        <v>1056</v>
      </c>
      <c r="F60" s="22" t="s">
        <v>19</v>
      </c>
      <c r="G60" s="23" t="n">
        <v>1</v>
      </c>
      <c r="H60" s="24" t="n">
        <v>1</v>
      </c>
      <c r="I60" s="24" t="n">
        <v>700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4"/>
      <c r="O60" s="22"/>
    </row>
    <row collapsed="false" customFormat="false" customHeight="false" hidden="false" ht="12.1" outlineLevel="0" r="61">
      <c r="A61" s="20" t="n">
        <v>44860.737233796</v>
      </c>
      <c r="B61" s="16" t="s">
        <v>329</v>
      </c>
      <c r="C61" s="16" t="s">
        <v>1091</v>
      </c>
      <c r="D61" s="16" t="s">
        <v>912</v>
      </c>
      <c r="E61" s="16" t="s">
        <v>85</v>
      </c>
      <c r="F61" s="16" t="s">
        <v>19</v>
      </c>
      <c r="G61" s="7" t="n">
        <v>1</v>
      </c>
      <c r="H61" s="6" t="n">
        <v>89.96</v>
      </c>
      <c r="I61" s="6" t="n">
        <v>-899.6</v>
      </c>
      <c r="J61" s="6" t="n">
        <v>-10.92</v>
      </c>
      <c r="K61" s="6" t="n">
        <v>-2.7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1" t="n">
        <v>44860.860509259</v>
      </c>
      <c r="B62" s="22" t="s">
        <v>1063</v>
      </c>
      <c r="C62" s="22" t="s">
        <v>1092</v>
      </c>
      <c r="D62" s="22" t="s">
        <v>1063</v>
      </c>
      <c r="E62" s="22" t="s">
        <v>1063</v>
      </c>
      <c r="F62" s="22" t="s">
        <v>19</v>
      </c>
      <c r="G62" s="23" t="n">
        <v>1</v>
      </c>
      <c r="H62" s="24" t="n">
        <v>1</v>
      </c>
      <c r="I62" s="24" t="n">
        <v>510.3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4"/>
      <c r="O62" s="22"/>
    </row>
    <row collapsed="false" customFormat="false" customHeight="false" hidden="false" ht="12.1" outlineLevel="0" r="63">
      <c r="A63" s="25" t="n">
        <v>44860.860509259</v>
      </c>
      <c r="B63" s="26" t="s">
        <v>1089</v>
      </c>
      <c r="C63" s="26" t="s">
        <v>1093</v>
      </c>
      <c r="D63" s="26" t="s">
        <v>1089</v>
      </c>
      <c r="E63" s="26" t="s">
        <v>1089</v>
      </c>
      <c r="F63" s="26" t="s">
        <v>19</v>
      </c>
      <c r="G63" s="27" t="n">
        <v>1</v>
      </c>
      <c r="H63" s="28" t="n">
        <v>-65</v>
      </c>
      <c r="I63" s="28" t="n">
        <v>-65</v>
      </c>
      <c r="J63" s="28" t="n">
        <v>0</v>
      </c>
      <c r="K63" s="28" t="n">
        <v>0</v>
      </c>
      <c r="L63" s="28" t="n">
        <v>0</v>
      </c>
      <c r="M63" s="6" t="s">
        <f>=I63+J63+K63+L63</f>
      </c>
      <c r="N63" s="28"/>
      <c r="O63" s="26"/>
    </row>
    <row collapsed="false" customFormat="false" customHeight="false" hidden="false" ht="12.1" outlineLevel="0" r="64">
      <c r="A64" s="21" t="n">
        <v>44861.514490741</v>
      </c>
      <c r="B64" s="22" t="s">
        <v>1063</v>
      </c>
      <c r="C64" s="22" t="s">
        <v>1080</v>
      </c>
      <c r="D64" s="22" t="s">
        <v>1063</v>
      </c>
      <c r="E64" s="22" t="s">
        <v>1063</v>
      </c>
      <c r="F64" s="22" t="s">
        <v>19</v>
      </c>
      <c r="G64" s="23" t="n">
        <v>1</v>
      </c>
      <c r="H64" s="24" t="n">
        <v>1</v>
      </c>
      <c r="I64" s="24" t="n">
        <v>19.69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4"/>
      <c r="O64" s="22"/>
    </row>
    <row collapsed="false" customFormat="false" customHeight="false" hidden="false" ht="12.1" outlineLevel="0" r="65">
      <c r="A65" s="25" t="n">
        <v>44862.439351852</v>
      </c>
      <c r="B65" s="26" t="s">
        <v>1089</v>
      </c>
      <c r="C65" s="26" t="s">
        <v>1094</v>
      </c>
      <c r="D65" s="26" t="s">
        <v>1089</v>
      </c>
      <c r="E65" s="26" t="s">
        <v>1089</v>
      </c>
      <c r="F65" s="26" t="s">
        <v>19</v>
      </c>
      <c r="G65" s="27" t="n">
        <v>1</v>
      </c>
      <c r="H65" s="28" t="n">
        <v>-4</v>
      </c>
      <c r="I65" s="28" t="n">
        <v>-4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1" t="n">
        <v>44862.439351852</v>
      </c>
      <c r="B66" s="22" t="s">
        <v>1063</v>
      </c>
      <c r="C66" s="22" t="s">
        <v>1095</v>
      </c>
      <c r="D66" s="22" t="s">
        <v>1063</v>
      </c>
      <c r="E66" s="22" t="s">
        <v>1063</v>
      </c>
      <c r="F66" s="22" t="s">
        <v>19</v>
      </c>
      <c r="G66" s="23" t="n">
        <v>1</v>
      </c>
      <c r="H66" s="24" t="n">
        <v>1</v>
      </c>
      <c r="I66" s="24" t="n">
        <v>32.71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1" t="n">
        <v>44862.66224537</v>
      </c>
      <c r="B67" s="22" t="s">
        <v>1056</v>
      </c>
      <c r="C67" s="22" t="s">
        <v>350</v>
      </c>
      <c r="D67" s="22" t="s">
        <v>1056</v>
      </c>
      <c r="E67" s="22" t="s">
        <v>1056</v>
      </c>
      <c r="F67" s="22" t="s">
        <v>19</v>
      </c>
      <c r="G67" s="23" t="n">
        <v>1</v>
      </c>
      <c r="H67" s="24" t="n">
        <v>1</v>
      </c>
      <c r="I67" s="24" t="n">
        <v>500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0" t="n">
        <v>44862.674525463</v>
      </c>
      <c r="B68" s="16" t="s">
        <v>275</v>
      </c>
      <c r="C68" s="16" t="s">
        <v>1096</v>
      </c>
      <c r="D68" s="16" t="s">
        <v>912</v>
      </c>
      <c r="E68" s="16" t="s">
        <v>85</v>
      </c>
      <c r="F68" s="16" t="s">
        <v>19</v>
      </c>
      <c r="G68" s="7" t="n">
        <v>1</v>
      </c>
      <c r="H68" s="6" t="n">
        <v>94.59</v>
      </c>
      <c r="I68" s="6" t="n">
        <v>-945.9</v>
      </c>
      <c r="J68" s="6" t="n">
        <v>-8.87</v>
      </c>
      <c r="K68" s="6" t="n">
        <v>-2.84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1" t="n">
        <v>44866.537349537</v>
      </c>
      <c r="B69" s="22" t="s">
        <v>1056</v>
      </c>
      <c r="C69" s="22" t="s">
        <v>350</v>
      </c>
      <c r="D69" s="22" t="s">
        <v>1056</v>
      </c>
      <c r="E69" s="22" t="s">
        <v>1056</v>
      </c>
      <c r="F69" s="22" t="s">
        <v>19</v>
      </c>
      <c r="G69" s="23" t="n">
        <v>1</v>
      </c>
      <c r="H69" s="24" t="n">
        <v>1</v>
      </c>
      <c r="I69" s="24" t="n">
        <v>1200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4"/>
      <c r="O69" s="22"/>
    </row>
    <row collapsed="false" customFormat="false" customHeight="false" hidden="false" ht="12.1" outlineLevel="0" r="70">
      <c r="A70" s="20" t="n">
        <v>44866.544525463</v>
      </c>
      <c r="B70" s="16" t="s">
        <v>260</v>
      </c>
      <c r="C70" s="16" t="s">
        <v>1097</v>
      </c>
      <c r="D70" s="16" t="s">
        <v>912</v>
      </c>
      <c r="E70" s="16" t="s">
        <v>85</v>
      </c>
      <c r="F70" s="16" t="s">
        <v>19</v>
      </c>
      <c r="G70" s="7" t="n">
        <v>1</v>
      </c>
      <c r="H70" s="6" t="n">
        <v>100.88</v>
      </c>
      <c r="I70" s="6" t="n">
        <v>-1008.8</v>
      </c>
      <c r="J70" s="6" t="n">
        <v>-16.63</v>
      </c>
      <c r="K70" s="6" t="n">
        <v>-3.03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1" t="n">
        <v>44867.71869213</v>
      </c>
      <c r="B71" s="22" t="s">
        <v>1056</v>
      </c>
      <c r="C71" s="22" t="s">
        <v>350</v>
      </c>
      <c r="D71" s="22" t="s">
        <v>1056</v>
      </c>
      <c r="E71" s="22" t="s">
        <v>1056</v>
      </c>
      <c r="F71" s="22" t="s">
        <v>19</v>
      </c>
      <c r="G71" s="23" t="n">
        <v>1</v>
      </c>
      <c r="H71" s="24" t="n">
        <v>1</v>
      </c>
      <c r="I71" s="24" t="n">
        <v>500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4"/>
      <c r="O71" s="22"/>
    </row>
    <row collapsed="false" customFormat="false" customHeight="false" hidden="false" ht="12.1" outlineLevel="0" r="72">
      <c r="A72" s="20" t="n">
        <v>44867.718981481</v>
      </c>
      <c r="B72" s="16" t="s">
        <v>311</v>
      </c>
      <c r="C72" s="16" t="s">
        <v>1098</v>
      </c>
      <c r="D72" s="16" t="s">
        <v>912</v>
      </c>
      <c r="E72" s="16" t="s">
        <v>85</v>
      </c>
      <c r="F72" s="16" t="s">
        <v>19</v>
      </c>
      <c r="G72" s="7" t="n">
        <v>1</v>
      </c>
      <c r="H72" s="6" t="n">
        <v>103.18</v>
      </c>
      <c r="I72" s="6" t="n">
        <v>-1031.8</v>
      </c>
      <c r="J72" s="6" t="n">
        <v>-34.72</v>
      </c>
      <c r="K72" s="6" t="n">
        <v>-3.1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1" t="n">
        <v>44868.734166667</v>
      </c>
      <c r="B73" s="22" t="s">
        <v>1056</v>
      </c>
      <c r="C73" s="22" t="s">
        <v>350</v>
      </c>
      <c r="D73" s="22" t="s">
        <v>1056</v>
      </c>
      <c r="E73" s="22" t="s">
        <v>1056</v>
      </c>
      <c r="F73" s="22" t="s">
        <v>19</v>
      </c>
      <c r="G73" s="23" t="n">
        <v>1</v>
      </c>
      <c r="H73" s="24" t="n">
        <v>1</v>
      </c>
      <c r="I73" s="24" t="n">
        <v>800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4"/>
      <c r="O73" s="22"/>
    </row>
    <row collapsed="false" customFormat="false" customHeight="false" hidden="false" ht="12.1" outlineLevel="0" r="74">
      <c r="A74" s="20" t="n">
        <v>44868.734525463</v>
      </c>
      <c r="B74" s="16" t="s">
        <v>103</v>
      </c>
      <c r="C74" s="16" t="s">
        <v>1061</v>
      </c>
      <c r="D74" s="16" t="s">
        <v>912</v>
      </c>
      <c r="E74" s="16" t="s">
        <v>85</v>
      </c>
      <c r="F74" s="16" t="s">
        <v>19</v>
      </c>
      <c r="G74" s="7" t="n">
        <v>1</v>
      </c>
      <c r="H74" s="6" t="n">
        <v>78.008</v>
      </c>
      <c r="I74" s="6" t="n">
        <v>-780.08</v>
      </c>
      <c r="J74" s="6" t="n">
        <v>-7.5999999999999</v>
      </c>
      <c r="K74" s="6" t="n">
        <v>-2.34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1" t="n">
        <v>44868.769328704</v>
      </c>
      <c r="B75" s="22" t="s">
        <v>1056</v>
      </c>
      <c r="C75" s="22" t="s">
        <v>350</v>
      </c>
      <c r="D75" s="22" t="s">
        <v>1056</v>
      </c>
      <c r="E75" s="22" t="s">
        <v>1056</v>
      </c>
      <c r="F75" s="22" t="s">
        <v>19</v>
      </c>
      <c r="G75" s="23" t="n">
        <v>1</v>
      </c>
      <c r="H75" s="24" t="n">
        <v>1</v>
      </c>
      <c r="I75" s="24" t="n">
        <v>3100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4"/>
      <c r="O75" s="22"/>
    </row>
    <row collapsed="false" customFormat="false" customHeight="false" hidden="false" ht="12.1" outlineLevel="0" r="76">
      <c r="A76" s="20" t="n">
        <v>44868.771030093</v>
      </c>
      <c r="B76" s="16" t="s">
        <v>127</v>
      </c>
      <c r="C76" s="16" t="s">
        <v>1099</v>
      </c>
      <c r="D76" s="16" t="s">
        <v>912</v>
      </c>
      <c r="E76" s="16" t="s">
        <v>85</v>
      </c>
      <c r="F76" s="16" t="s">
        <v>19</v>
      </c>
      <c r="G76" s="7" t="n">
        <v>1</v>
      </c>
      <c r="H76" s="6" t="n">
        <v>86.1</v>
      </c>
      <c r="I76" s="6" t="n">
        <v>-861</v>
      </c>
      <c r="J76" s="6" t="n">
        <v>-6.96</v>
      </c>
      <c r="K76" s="6" t="n">
        <v>-2.58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44868.771585648</v>
      </c>
      <c r="B77" s="16" t="s">
        <v>136</v>
      </c>
      <c r="C77" s="16" t="s">
        <v>1066</v>
      </c>
      <c r="D77" s="16" t="s">
        <v>912</v>
      </c>
      <c r="E77" s="16" t="s">
        <v>85</v>
      </c>
      <c r="F77" s="16" t="s">
        <v>19</v>
      </c>
      <c r="G77" s="7" t="n">
        <v>1</v>
      </c>
      <c r="H77" s="6" t="n">
        <v>82.1</v>
      </c>
      <c r="I77" s="6" t="n">
        <v>-821</v>
      </c>
      <c r="J77" s="6" t="n">
        <v>-32.97</v>
      </c>
      <c r="K77" s="6" t="n">
        <v>-2.46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0" t="n">
        <v>44868.77224537</v>
      </c>
      <c r="B78" s="16" t="s">
        <v>106</v>
      </c>
      <c r="C78" s="16" t="s">
        <v>1100</v>
      </c>
      <c r="D78" s="16" t="s">
        <v>912</v>
      </c>
      <c r="E78" s="16" t="s">
        <v>85</v>
      </c>
      <c r="F78" s="16" t="s">
        <v>19</v>
      </c>
      <c r="G78" s="7" t="n">
        <v>1</v>
      </c>
      <c r="H78" s="6" t="n">
        <v>82.228</v>
      </c>
      <c r="I78" s="6" t="n">
        <v>-822.28</v>
      </c>
      <c r="J78" s="6" t="n">
        <v>-6.96</v>
      </c>
      <c r="K78" s="6" t="n">
        <v>-2.47</v>
      </c>
      <c r="L78" s="6" t="n">
        <v>0</v>
      </c>
      <c r="M78" s="6" t="s">
        <f>=I78+J78+K78+L78</f>
      </c>
      <c r="N78" s="6"/>
      <c r="O78" s="16"/>
    </row>
    <row collapsed="false" customFormat="false" customHeight="false" hidden="false" ht="12.1" outlineLevel="0" r="79">
      <c r="A79" s="21" t="n">
        <v>44868.773240741</v>
      </c>
      <c r="B79" s="22" t="s">
        <v>1056</v>
      </c>
      <c r="C79" s="22" t="s">
        <v>350</v>
      </c>
      <c r="D79" s="22" t="s">
        <v>1056</v>
      </c>
      <c r="E79" s="22" t="s">
        <v>1056</v>
      </c>
      <c r="F79" s="22" t="s">
        <v>19</v>
      </c>
      <c r="G79" s="23" t="n">
        <v>1</v>
      </c>
      <c r="H79" s="24" t="n">
        <v>1</v>
      </c>
      <c r="I79" s="24" t="n">
        <v>300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44868.773530093</v>
      </c>
      <c r="B80" s="16" t="s">
        <v>84</v>
      </c>
      <c r="C80" s="16" t="s">
        <v>1065</v>
      </c>
      <c r="D80" s="16" t="s">
        <v>912</v>
      </c>
      <c r="E80" s="16" t="s">
        <v>85</v>
      </c>
      <c r="F80" s="16" t="s">
        <v>19</v>
      </c>
      <c r="G80" s="7" t="n">
        <v>1</v>
      </c>
      <c r="H80" s="6" t="n">
        <v>72.449</v>
      </c>
      <c r="I80" s="6" t="n">
        <v>-724.49</v>
      </c>
      <c r="J80" s="6" t="n">
        <v>-16.05</v>
      </c>
      <c r="K80" s="6" t="n">
        <v>-2.17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1" t="n">
        <v>44873.505636574</v>
      </c>
      <c r="B81" s="22" t="s">
        <v>1063</v>
      </c>
      <c r="C81" s="22" t="s">
        <v>1101</v>
      </c>
      <c r="D81" s="22" t="s">
        <v>1063</v>
      </c>
      <c r="E81" s="22" t="s">
        <v>1063</v>
      </c>
      <c r="F81" s="22" t="s">
        <v>19</v>
      </c>
      <c r="G81" s="23" t="n">
        <v>1</v>
      </c>
      <c r="H81" s="24" t="n">
        <v>1</v>
      </c>
      <c r="I81" s="24" t="n">
        <v>42.38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2"/>
    </row>
    <row collapsed="false" customFormat="false" customHeight="false" hidden="false" ht="12.1" outlineLevel="0" r="82">
      <c r="A82" s="21" t="n">
        <v>44883.449039352</v>
      </c>
      <c r="B82" s="22" t="s">
        <v>1063</v>
      </c>
      <c r="C82" s="22" t="s">
        <v>1102</v>
      </c>
      <c r="D82" s="22" t="s">
        <v>1063</v>
      </c>
      <c r="E82" s="22" t="s">
        <v>1063</v>
      </c>
      <c r="F82" s="22" t="s">
        <v>19</v>
      </c>
      <c r="G82" s="23" t="n">
        <v>1</v>
      </c>
      <c r="H82" s="24" t="n">
        <v>1</v>
      </c>
      <c r="I82" s="24" t="n">
        <v>68.71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1" t="n">
        <v>44890.403368056</v>
      </c>
      <c r="B83" s="22" t="s">
        <v>1063</v>
      </c>
      <c r="C83" s="22" t="s">
        <v>1064</v>
      </c>
      <c r="D83" s="22" t="s">
        <v>1063</v>
      </c>
      <c r="E83" s="22" t="s">
        <v>1063</v>
      </c>
      <c r="F83" s="22" t="s">
        <v>19</v>
      </c>
      <c r="G83" s="23" t="n">
        <v>1</v>
      </c>
      <c r="H83" s="24" t="n">
        <v>1</v>
      </c>
      <c r="I83" s="24" t="n">
        <v>16.08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4"/>
      <c r="O83" s="22"/>
    </row>
    <row collapsed="false" customFormat="false" customHeight="false" hidden="false" ht="12.1" outlineLevel="0" r="84">
      <c r="A84" s="21" t="n">
        <v>44890.418738426</v>
      </c>
      <c r="B84" s="22" t="s">
        <v>1073</v>
      </c>
      <c r="C84" s="22" t="s">
        <v>1103</v>
      </c>
      <c r="D84" s="22" t="s">
        <v>1073</v>
      </c>
      <c r="E84" s="22" t="s">
        <v>1073</v>
      </c>
      <c r="F84" s="22" t="s">
        <v>19</v>
      </c>
      <c r="G84" s="23" t="n">
        <v>1</v>
      </c>
      <c r="H84" s="24" t="n">
        <v>1</v>
      </c>
      <c r="I84" s="24" t="n">
        <v>250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1" t="n">
        <v>44890.493159722</v>
      </c>
      <c r="B85" s="22" t="s">
        <v>1063</v>
      </c>
      <c r="C85" s="22" t="s">
        <v>1104</v>
      </c>
      <c r="D85" s="22" t="s">
        <v>1063</v>
      </c>
      <c r="E85" s="22" t="s">
        <v>1063</v>
      </c>
      <c r="F85" s="22" t="s">
        <v>19</v>
      </c>
      <c r="G85" s="23" t="n">
        <v>1</v>
      </c>
      <c r="H85" s="24" t="n">
        <v>1</v>
      </c>
      <c r="I85" s="24" t="n">
        <v>72.3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1" t="n">
        <v>44900.702731481</v>
      </c>
      <c r="B86" s="22" t="s">
        <v>1063</v>
      </c>
      <c r="C86" s="22" t="s">
        <v>1105</v>
      </c>
      <c r="D86" s="22" t="s">
        <v>1063</v>
      </c>
      <c r="E86" s="22" t="s">
        <v>1063</v>
      </c>
      <c r="F86" s="22" t="s">
        <v>19</v>
      </c>
      <c r="G86" s="23" t="n">
        <v>1</v>
      </c>
      <c r="H86" s="24" t="n">
        <v>1</v>
      </c>
      <c r="I86" s="24" t="n">
        <v>24.81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4"/>
      <c r="O86" s="22"/>
    </row>
    <row collapsed="false" customFormat="false" customHeight="false" hidden="false" ht="12.1" outlineLevel="0" r="87">
      <c r="A87" s="21" t="n">
        <v>44903.460451389</v>
      </c>
      <c r="B87" s="22" t="s">
        <v>1063</v>
      </c>
      <c r="C87" s="22" t="s">
        <v>1106</v>
      </c>
      <c r="D87" s="22" t="s">
        <v>1063</v>
      </c>
      <c r="E87" s="22" t="s">
        <v>1063</v>
      </c>
      <c r="F87" s="22" t="s">
        <v>19</v>
      </c>
      <c r="G87" s="23" t="n">
        <v>1</v>
      </c>
      <c r="H87" s="24" t="n">
        <v>1</v>
      </c>
      <c r="I87" s="24" t="n">
        <v>19.87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44903.493275463</v>
      </c>
      <c r="B88" s="22" t="s">
        <v>1056</v>
      </c>
      <c r="C88" s="22" t="s">
        <v>350</v>
      </c>
      <c r="D88" s="22" t="s">
        <v>1056</v>
      </c>
      <c r="E88" s="22" t="s">
        <v>1056</v>
      </c>
      <c r="F88" s="22" t="s">
        <v>19</v>
      </c>
      <c r="G88" s="23" t="n">
        <v>1</v>
      </c>
      <c r="H88" s="24" t="n">
        <v>1</v>
      </c>
      <c r="I88" s="24" t="n">
        <v>5600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0" t="n">
        <v>44903.495185185</v>
      </c>
      <c r="B89" s="16" t="s">
        <v>94</v>
      </c>
      <c r="C89" s="16" t="s">
        <v>1107</v>
      </c>
      <c r="D89" s="16" t="s">
        <v>912</v>
      </c>
      <c r="E89" s="16" t="s">
        <v>85</v>
      </c>
      <c r="F89" s="16" t="s">
        <v>19</v>
      </c>
      <c r="G89" s="7" t="n">
        <v>1</v>
      </c>
      <c r="H89" s="6" t="n">
        <v>76.357</v>
      </c>
      <c r="I89" s="6" t="n">
        <v>-763.57</v>
      </c>
      <c r="J89" s="6" t="n">
        <v>-0.38999999999999</v>
      </c>
      <c r="K89" s="6" t="n">
        <v>-2.29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44903.497280093</v>
      </c>
      <c r="B90" s="16" t="s">
        <v>142</v>
      </c>
      <c r="C90" s="16" t="s">
        <v>1108</v>
      </c>
      <c r="D90" s="16" t="s">
        <v>912</v>
      </c>
      <c r="E90" s="16" t="s">
        <v>85</v>
      </c>
      <c r="F90" s="16" t="s">
        <v>19</v>
      </c>
      <c r="G90" s="7" t="n">
        <v>1</v>
      </c>
      <c r="H90" s="6" t="n">
        <v>103.9</v>
      </c>
      <c r="I90" s="6" t="n">
        <v>-1039</v>
      </c>
      <c r="J90" s="6" t="n">
        <v>-18.59</v>
      </c>
      <c r="K90" s="6" t="n">
        <v>-3.12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44903.497708333</v>
      </c>
      <c r="B91" s="16" t="s">
        <v>240</v>
      </c>
      <c r="C91" s="16" t="s">
        <v>1109</v>
      </c>
      <c r="D91" s="16" t="s">
        <v>912</v>
      </c>
      <c r="E91" s="16" t="s">
        <v>85</v>
      </c>
      <c r="F91" s="16" t="s">
        <v>19</v>
      </c>
      <c r="G91" s="7" t="n">
        <v>1</v>
      </c>
      <c r="H91" s="6" t="n">
        <v>103</v>
      </c>
      <c r="I91" s="6" t="n">
        <v>-1030</v>
      </c>
      <c r="J91" s="6" t="n">
        <v>-35.52</v>
      </c>
      <c r="K91" s="6" t="n">
        <v>-3.09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0" t="n">
        <v>44903.498043981</v>
      </c>
      <c r="B92" s="16" t="s">
        <v>112</v>
      </c>
      <c r="C92" s="16" t="s">
        <v>1110</v>
      </c>
      <c r="D92" s="16" t="s">
        <v>912</v>
      </c>
      <c r="E92" s="16" t="s">
        <v>85</v>
      </c>
      <c r="F92" s="16" t="s">
        <v>19</v>
      </c>
      <c r="G92" s="7" t="n">
        <v>1</v>
      </c>
      <c r="H92" s="6" t="n">
        <v>78.45</v>
      </c>
      <c r="I92" s="6" t="n">
        <v>-784.5</v>
      </c>
      <c r="J92" s="6" t="n">
        <v>-21.86</v>
      </c>
      <c r="K92" s="6" t="n">
        <v>-2.35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44903.498576389</v>
      </c>
      <c r="B93" s="16" t="s">
        <v>109</v>
      </c>
      <c r="C93" s="16" t="s">
        <v>1067</v>
      </c>
      <c r="D93" s="16" t="s">
        <v>912</v>
      </c>
      <c r="E93" s="16" t="s">
        <v>85</v>
      </c>
      <c r="F93" s="16" t="s">
        <v>19</v>
      </c>
      <c r="G93" s="7" t="n">
        <v>1</v>
      </c>
      <c r="H93" s="6" t="n">
        <v>104.833</v>
      </c>
      <c r="I93" s="6" t="n">
        <v>-1048.33</v>
      </c>
      <c r="J93" s="6" t="n">
        <v>-6.47</v>
      </c>
      <c r="K93" s="6" t="n">
        <v>-3.14</v>
      </c>
      <c r="L93" s="6" t="n">
        <v>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0" t="n">
        <v>44903.499236111</v>
      </c>
      <c r="B94" s="16" t="s">
        <v>922</v>
      </c>
      <c r="C94" s="16" t="s">
        <v>1111</v>
      </c>
      <c r="D94" s="16" t="s">
        <v>912</v>
      </c>
      <c r="E94" s="16" t="s">
        <v>85</v>
      </c>
      <c r="F94" s="16" t="s">
        <v>19</v>
      </c>
      <c r="G94" s="7" t="n">
        <v>1</v>
      </c>
      <c r="H94" s="6" t="n">
        <v>102.201</v>
      </c>
      <c r="I94" s="6" t="n">
        <v>-1022.01</v>
      </c>
      <c r="J94" s="6" t="n">
        <v>-50.57</v>
      </c>
      <c r="K94" s="6" t="n">
        <v>-3.07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1" t="n">
        <v>44910.439571759</v>
      </c>
      <c r="B95" s="22" t="s">
        <v>1056</v>
      </c>
      <c r="C95" s="22" t="s">
        <v>350</v>
      </c>
      <c r="D95" s="22" t="s">
        <v>1056</v>
      </c>
      <c r="E95" s="22" t="s">
        <v>1056</v>
      </c>
      <c r="F95" s="22" t="s">
        <v>19</v>
      </c>
      <c r="G95" s="23" t="n">
        <v>1</v>
      </c>
      <c r="H95" s="24" t="n">
        <v>1</v>
      </c>
      <c r="I95" s="24" t="n">
        <v>1000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2"/>
    </row>
    <row collapsed="false" customFormat="false" customHeight="false" hidden="false" ht="12.1" outlineLevel="0" r="96">
      <c r="A96" s="20" t="n">
        <v>44910.447233796</v>
      </c>
      <c r="B96" s="16" t="s">
        <v>16</v>
      </c>
      <c r="C96" s="16" t="s">
        <v>1112</v>
      </c>
      <c r="D96" s="16" t="s">
        <v>912</v>
      </c>
      <c r="E96" s="16" t="s">
        <v>17</v>
      </c>
      <c r="F96" s="16" t="s">
        <v>19</v>
      </c>
      <c r="G96" s="7" t="n">
        <v>10</v>
      </c>
      <c r="H96" s="6" t="n">
        <v>135.8</v>
      </c>
      <c r="I96" s="6" t="n">
        <v>-1358</v>
      </c>
      <c r="J96" s="6" t="n">
        <v>0</v>
      </c>
      <c r="K96" s="6" t="n">
        <v>-4.07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1" t="n">
        <v>44917.616851852</v>
      </c>
      <c r="B97" s="22" t="s">
        <v>1063</v>
      </c>
      <c r="C97" s="22" t="s">
        <v>1113</v>
      </c>
      <c r="D97" s="22" t="s">
        <v>1063</v>
      </c>
      <c r="E97" s="22" t="s">
        <v>1063</v>
      </c>
      <c r="F97" s="22" t="s">
        <v>19</v>
      </c>
      <c r="G97" s="23" t="n">
        <v>1</v>
      </c>
      <c r="H97" s="24" t="n">
        <v>1</v>
      </c>
      <c r="I97" s="24" t="n">
        <v>145.9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4"/>
      <c r="O97" s="22"/>
    </row>
    <row collapsed="false" customFormat="false" customHeight="false" hidden="false" ht="12.1" outlineLevel="0" r="98">
      <c r="A98" s="21" t="n">
        <v>44929.579305556</v>
      </c>
      <c r="B98" s="22" t="s">
        <v>1056</v>
      </c>
      <c r="C98" s="22" t="s">
        <v>350</v>
      </c>
      <c r="D98" s="22" t="s">
        <v>1056</v>
      </c>
      <c r="E98" s="22" t="s">
        <v>1056</v>
      </c>
      <c r="F98" s="22" t="s">
        <v>19</v>
      </c>
      <c r="G98" s="23" t="n">
        <v>1</v>
      </c>
      <c r="H98" s="24" t="n">
        <v>1</v>
      </c>
      <c r="I98" s="24" t="n">
        <v>4600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0" t="n">
        <v>44929.584386574</v>
      </c>
      <c r="B99" s="16" t="s">
        <v>88</v>
      </c>
      <c r="C99" s="16" t="s">
        <v>1069</v>
      </c>
      <c r="D99" s="16" t="s">
        <v>912</v>
      </c>
      <c r="E99" s="16" t="s">
        <v>85</v>
      </c>
      <c r="F99" s="16" t="s">
        <v>19</v>
      </c>
      <c r="G99" s="7" t="n">
        <v>1</v>
      </c>
      <c r="H99" s="6" t="n">
        <v>104.499</v>
      </c>
      <c r="I99" s="6" t="n">
        <v>-1044.99</v>
      </c>
      <c r="J99" s="6" t="n">
        <v>-3.6600000000001</v>
      </c>
      <c r="K99" s="6" t="n">
        <v>-3.13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44929.586157407</v>
      </c>
      <c r="B100" s="16" t="s">
        <v>290</v>
      </c>
      <c r="C100" s="16" t="s">
        <v>1114</v>
      </c>
      <c r="D100" s="16" t="s">
        <v>912</v>
      </c>
      <c r="E100" s="16" t="s">
        <v>85</v>
      </c>
      <c r="F100" s="16" t="s">
        <v>19</v>
      </c>
      <c r="G100" s="7" t="n">
        <v>1</v>
      </c>
      <c r="H100" s="6" t="n">
        <v>100.55</v>
      </c>
      <c r="I100" s="6" t="n">
        <v>-1005.5</v>
      </c>
      <c r="J100" s="6" t="n">
        <v>-19.85</v>
      </c>
      <c r="K100" s="6" t="n">
        <v>-3.02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44929.597291667</v>
      </c>
      <c r="B101" s="16" t="s">
        <v>67</v>
      </c>
      <c r="C101" s="16" t="s">
        <v>1115</v>
      </c>
      <c r="D101" s="16" t="s">
        <v>912</v>
      </c>
      <c r="E101" s="16" t="s">
        <v>17</v>
      </c>
      <c r="F101" s="16" t="s">
        <v>19</v>
      </c>
      <c r="G101" s="7" t="n">
        <v>100</v>
      </c>
      <c r="H101" s="6" t="n">
        <v>12.047</v>
      </c>
      <c r="I101" s="6" t="n">
        <v>-1204.7</v>
      </c>
      <c r="J101" s="6" t="n">
        <v>0</v>
      </c>
      <c r="K101" s="6" t="n">
        <v>-3.61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44929.599490741</v>
      </c>
      <c r="B102" s="16" t="s">
        <v>30</v>
      </c>
      <c r="C102" s="16" t="s">
        <v>1116</v>
      </c>
      <c r="D102" s="16" t="s">
        <v>912</v>
      </c>
      <c r="E102" s="16" t="s">
        <v>17</v>
      </c>
      <c r="F102" s="16" t="s">
        <v>19</v>
      </c>
      <c r="G102" s="7" t="n">
        <v>10</v>
      </c>
      <c r="H102" s="6" t="n">
        <v>141.54</v>
      </c>
      <c r="I102" s="6" t="n">
        <v>-1415.4</v>
      </c>
      <c r="J102" s="6" t="n">
        <v>0</v>
      </c>
      <c r="K102" s="6" t="n">
        <v>-4.25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1" t="n">
        <v>44936.540266204</v>
      </c>
      <c r="B103" s="22" t="s">
        <v>1063</v>
      </c>
      <c r="C103" s="22" t="s">
        <v>1072</v>
      </c>
      <c r="D103" s="22" t="s">
        <v>1063</v>
      </c>
      <c r="E103" s="22" t="s">
        <v>1063</v>
      </c>
      <c r="F103" s="22" t="s">
        <v>19</v>
      </c>
      <c r="G103" s="23" t="n">
        <v>1</v>
      </c>
      <c r="H103" s="24" t="n">
        <v>1</v>
      </c>
      <c r="I103" s="24" t="n">
        <v>20.94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4"/>
      <c r="O103" s="22"/>
    </row>
    <row collapsed="false" customFormat="false" customHeight="false" hidden="false" ht="12.1" outlineLevel="0" r="104">
      <c r="A104" s="21" t="n">
        <v>44950.52099537</v>
      </c>
      <c r="B104" s="22" t="s">
        <v>1056</v>
      </c>
      <c r="C104" s="22" t="s">
        <v>350</v>
      </c>
      <c r="D104" s="22" t="s">
        <v>1056</v>
      </c>
      <c r="E104" s="22" t="s">
        <v>1056</v>
      </c>
      <c r="F104" s="22" t="s">
        <v>19</v>
      </c>
      <c r="G104" s="23" t="n">
        <v>1</v>
      </c>
      <c r="H104" s="24" t="n">
        <v>1</v>
      </c>
      <c r="I104" s="24" t="n">
        <v>5600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4"/>
      <c r="O104" s="22"/>
    </row>
    <row collapsed="false" customFormat="false" customHeight="false" hidden="false" ht="12.1" outlineLevel="0" r="105">
      <c r="A105" s="20" t="n">
        <v>44950.523275463</v>
      </c>
      <c r="B105" s="16" t="s">
        <v>109</v>
      </c>
      <c r="C105" s="16" t="s">
        <v>1067</v>
      </c>
      <c r="D105" s="16" t="s">
        <v>912</v>
      </c>
      <c r="E105" s="16" t="s">
        <v>85</v>
      </c>
      <c r="F105" s="16" t="s">
        <v>19</v>
      </c>
      <c r="G105" s="7" t="n">
        <v>1</v>
      </c>
      <c r="H105" s="6" t="n">
        <v>104.558</v>
      </c>
      <c r="I105" s="6" t="n">
        <v>-1045.58</v>
      </c>
      <c r="J105" s="6" t="n">
        <v>-19.7</v>
      </c>
      <c r="K105" s="6" t="n">
        <v>-3.14</v>
      </c>
      <c r="L105" s="6" t="n">
        <v>0</v>
      </c>
      <c r="M105" s="6" t="s">
        <f>=I105+J105+K105+L105</f>
      </c>
      <c r="N105" s="6"/>
      <c r="O105" s="16"/>
    </row>
    <row collapsed="false" customFormat="false" customHeight="false" hidden="false" ht="12.1" outlineLevel="0" r="106">
      <c r="A106" s="20" t="n">
        <v>44950.523726852</v>
      </c>
      <c r="B106" s="16" t="s">
        <v>94</v>
      </c>
      <c r="C106" s="16" t="s">
        <v>1107</v>
      </c>
      <c r="D106" s="16" t="s">
        <v>912</v>
      </c>
      <c r="E106" s="16" t="s">
        <v>85</v>
      </c>
      <c r="F106" s="16" t="s">
        <v>19</v>
      </c>
      <c r="G106" s="7" t="n">
        <v>1</v>
      </c>
      <c r="H106" s="6" t="n">
        <v>74.936</v>
      </c>
      <c r="I106" s="6" t="n">
        <v>-749.36</v>
      </c>
      <c r="J106" s="6" t="n">
        <v>-9.53</v>
      </c>
      <c r="K106" s="6" t="n">
        <v>-2.25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44950.524039352</v>
      </c>
      <c r="B107" s="16" t="s">
        <v>112</v>
      </c>
      <c r="C107" s="16" t="s">
        <v>1110</v>
      </c>
      <c r="D107" s="16" t="s">
        <v>912</v>
      </c>
      <c r="E107" s="16" t="s">
        <v>85</v>
      </c>
      <c r="F107" s="16" t="s">
        <v>19</v>
      </c>
      <c r="G107" s="7" t="n">
        <v>1</v>
      </c>
      <c r="H107" s="6" t="n">
        <v>77.2</v>
      </c>
      <c r="I107" s="6" t="n">
        <v>-772</v>
      </c>
      <c r="J107" s="6" t="n">
        <v>-30.87</v>
      </c>
      <c r="K107" s="6" t="n">
        <v>-2.32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44950.524652778</v>
      </c>
      <c r="B108" s="16" t="s">
        <v>106</v>
      </c>
      <c r="C108" s="16" t="s">
        <v>1100</v>
      </c>
      <c r="D108" s="16" t="s">
        <v>912</v>
      </c>
      <c r="E108" s="16" t="s">
        <v>85</v>
      </c>
      <c r="F108" s="16" t="s">
        <v>19</v>
      </c>
      <c r="G108" s="7" t="n">
        <v>1</v>
      </c>
      <c r="H108" s="6" t="n">
        <v>81.169</v>
      </c>
      <c r="I108" s="6" t="n">
        <v>-811.69</v>
      </c>
      <c r="J108" s="6" t="n">
        <v>-23.62</v>
      </c>
      <c r="K108" s="6" t="n">
        <v>-2.44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44950.53130787</v>
      </c>
      <c r="B109" s="16" t="s">
        <v>142</v>
      </c>
      <c r="C109" s="16" t="s">
        <v>1108</v>
      </c>
      <c r="D109" s="16" t="s">
        <v>912</v>
      </c>
      <c r="E109" s="16" t="s">
        <v>85</v>
      </c>
      <c r="F109" s="16" t="s">
        <v>19</v>
      </c>
      <c r="G109" s="7" t="n">
        <v>1</v>
      </c>
      <c r="H109" s="6" t="n">
        <v>104.47</v>
      </c>
      <c r="I109" s="6" t="n">
        <v>-1044.7</v>
      </c>
      <c r="J109" s="6" t="n">
        <v>-33.66</v>
      </c>
      <c r="K109" s="6" t="n">
        <v>-3.13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1" t="n">
        <v>44950.53375</v>
      </c>
      <c r="B110" s="22" t="s">
        <v>1056</v>
      </c>
      <c r="C110" s="22" t="s">
        <v>350</v>
      </c>
      <c r="D110" s="22" t="s">
        <v>1056</v>
      </c>
      <c r="E110" s="22" t="s">
        <v>1056</v>
      </c>
      <c r="F110" s="22" t="s">
        <v>19</v>
      </c>
      <c r="G110" s="23" t="n">
        <v>1</v>
      </c>
      <c r="H110" s="24" t="n">
        <v>1</v>
      </c>
      <c r="I110" s="24" t="n">
        <v>600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4"/>
      <c r="O110" s="22"/>
    </row>
    <row collapsed="false" customFormat="false" customHeight="false" hidden="false" ht="12.1" outlineLevel="0" r="111">
      <c r="A111" s="20" t="n">
        <v>44950.5340625</v>
      </c>
      <c r="B111" s="16" t="s">
        <v>16</v>
      </c>
      <c r="C111" s="16" t="s">
        <v>1112</v>
      </c>
      <c r="D111" s="16" t="s">
        <v>912</v>
      </c>
      <c r="E111" s="16" t="s">
        <v>17</v>
      </c>
      <c r="F111" s="16" t="s">
        <v>19</v>
      </c>
      <c r="G111" s="7" t="n">
        <v>10</v>
      </c>
      <c r="H111" s="6" t="n">
        <v>154.29</v>
      </c>
      <c r="I111" s="6" t="n">
        <v>-1542.9</v>
      </c>
      <c r="J111" s="6" t="n">
        <v>0</v>
      </c>
      <c r="K111" s="6" t="n">
        <v>-4.63</v>
      </c>
      <c r="L111" s="6" t="n">
        <v>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1" t="n">
        <v>44952.430613426</v>
      </c>
      <c r="B112" s="22" t="s">
        <v>1063</v>
      </c>
      <c r="C112" s="22" t="s">
        <v>1080</v>
      </c>
      <c r="D112" s="22" t="s">
        <v>1063</v>
      </c>
      <c r="E112" s="22" t="s">
        <v>1063</v>
      </c>
      <c r="F112" s="22" t="s">
        <v>19</v>
      </c>
      <c r="G112" s="23" t="n">
        <v>1</v>
      </c>
      <c r="H112" s="24" t="n">
        <v>1</v>
      </c>
      <c r="I112" s="24" t="n">
        <v>18.31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1" t="n">
        <v>44952.800185185</v>
      </c>
      <c r="B113" s="22" t="s">
        <v>1063</v>
      </c>
      <c r="C113" s="22" t="s">
        <v>1095</v>
      </c>
      <c r="D113" s="22" t="s">
        <v>1063</v>
      </c>
      <c r="E113" s="22" t="s">
        <v>1063</v>
      </c>
      <c r="F113" s="22" t="s">
        <v>19</v>
      </c>
      <c r="G113" s="23" t="n">
        <v>1</v>
      </c>
      <c r="H113" s="24" t="n">
        <v>1</v>
      </c>
      <c r="I113" s="24" t="n">
        <v>6.86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2"/>
    </row>
    <row collapsed="false" customFormat="false" customHeight="false" hidden="false" ht="12.1" outlineLevel="0" r="114">
      <c r="A114" s="25" t="n">
        <v>44952.800185185</v>
      </c>
      <c r="B114" s="26" t="s">
        <v>1089</v>
      </c>
      <c r="C114" s="26" t="s">
        <v>1094</v>
      </c>
      <c r="D114" s="26" t="s">
        <v>1089</v>
      </c>
      <c r="E114" s="26" t="s">
        <v>1089</v>
      </c>
      <c r="F114" s="26" t="s">
        <v>19</v>
      </c>
      <c r="G114" s="27" t="n">
        <v>1</v>
      </c>
      <c r="H114" s="28" t="n">
        <v>-1</v>
      </c>
      <c r="I114" s="28" t="n">
        <v>-1</v>
      </c>
      <c r="J114" s="28" t="n">
        <v>0</v>
      </c>
      <c r="K114" s="28" t="n">
        <v>0</v>
      </c>
      <c r="L114" s="28" t="n">
        <v>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1" t="n">
        <v>44958.480150463</v>
      </c>
      <c r="B115" s="22" t="s">
        <v>1063</v>
      </c>
      <c r="C115" s="22" t="s">
        <v>1117</v>
      </c>
      <c r="D115" s="22" t="s">
        <v>1063</v>
      </c>
      <c r="E115" s="22" t="s">
        <v>1063</v>
      </c>
      <c r="F115" s="22" t="s">
        <v>19</v>
      </c>
      <c r="G115" s="23" t="n">
        <v>1</v>
      </c>
      <c r="H115" s="24" t="n">
        <v>1</v>
      </c>
      <c r="I115" s="24" t="n">
        <v>28.22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4"/>
      <c r="O115" s="22"/>
    </row>
    <row collapsed="false" customFormat="false" customHeight="false" hidden="false" ht="12.1" outlineLevel="0" r="116">
      <c r="A116" s="21" t="n">
        <v>44959.469027778</v>
      </c>
      <c r="B116" s="22" t="s">
        <v>1063</v>
      </c>
      <c r="C116" s="22" t="s">
        <v>1118</v>
      </c>
      <c r="D116" s="22" t="s">
        <v>1063</v>
      </c>
      <c r="E116" s="22" t="s">
        <v>1063</v>
      </c>
      <c r="F116" s="22" t="s">
        <v>19</v>
      </c>
      <c r="G116" s="23" t="n">
        <v>1</v>
      </c>
      <c r="H116" s="24" t="n">
        <v>1</v>
      </c>
      <c r="I116" s="24" t="n">
        <v>71.9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4"/>
      <c r="O116" s="22"/>
    </row>
    <row collapsed="false" customFormat="false" customHeight="false" hidden="false" ht="12.1" outlineLevel="0" r="117">
      <c r="A117" s="21" t="n">
        <v>44959.520266204</v>
      </c>
      <c r="B117" s="22" t="s">
        <v>1063</v>
      </c>
      <c r="C117" s="22" t="s">
        <v>1081</v>
      </c>
      <c r="D117" s="22" t="s">
        <v>1063</v>
      </c>
      <c r="E117" s="22" t="s">
        <v>1063</v>
      </c>
      <c r="F117" s="22" t="s">
        <v>19</v>
      </c>
      <c r="G117" s="23" t="n">
        <v>1</v>
      </c>
      <c r="H117" s="24" t="n">
        <v>1</v>
      </c>
      <c r="I117" s="24" t="n">
        <v>60.84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4"/>
      <c r="O117" s="22"/>
    </row>
    <row collapsed="false" customFormat="false" customHeight="false" hidden="false" ht="12.1" outlineLevel="0" r="118">
      <c r="A118" s="21" t="n">
        <v>44964.410706019</v>
      </c>
      <c r="B118" s="22" t="s">
        <v>1063</v>
      </c>
      <c r="C118" s="22" t="s">
        <v>1119</v>
      </c>
      <c r="D118" s="22" t="s">
        <v>1063</v>
      </c>
      <c r="E118" s="22" t="s">
        <v>1063</v>
      </c>
      <c r="F118" s="22" t="s">
        <v>19</v>
      </c>
      <c r="G118" s="23" t="n">
        <v>1</v>
      </c>
      <c r="H118" s="24" t="n">
        <v>1</v>
      </c>
      <c r="I118" s="24" t="n">
        <v>61.86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4"/>
      <c r="O118" s="22"/>
    </row>
    <row collapsed="false" customFormat="false" customHeight="false" hidden="false" ht="12.1" outlineLevel="0" r="119">
      <c r="A119" s="21" t="n">
        <v>44973.503171296</v>
      </c>
      <c r="B119" s="22" t="s">
        <v>1063</v>
      </c>
      <c r="C119" s="22" t="s">
        <v>1120</v>
      </c>
      <c r="D119" s="22" t="s">
        <v>1063</v>
      </c>
      <c r="E119" s="22" t="s">
        <v>1063</v>
      </c>
      <c r="F119" s="22" t="s">
        <v>19</v>
      </c>
      <c r="G119" s="23" t="n">
        <v>1</v>
      </c>
      <c r="H119" s="24" t="n">
        <v>1</v>
      </c>
      <c r="I119" s="24" t="n">
        <v>69.8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1" t="n">
        <v>44984.566064815</v>
      </c>
      <c r="B120" s="22" t="s">
        <v>1063</v>
      </c>
      <c r="C120" s="22" t="s">
        <v>1064</v>
      </c>
      <c r="D120" s="22" t="s">
        <v>1063</v>
      </c>
      <c r="E120" s="22" t="s">
        <v>1063</v>
      </c>
      <c r="F120" s="22" t="s">
        <v>19</v>
      </c>
      <c r="G120" s="23" t="n">
        <v>1</v>
      </c>
      <c r="H120" s="24" t="n">
        <v>1</v>
      </c>
      <c r="I120" s="24" t="n">
        <v>10.72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1" t="n">
        <v>44984.859085648</v>
      </c>
      <c r="B121" s="22" t="s">
        <v>1056</v>
      </c>
      <c r="C121" s="22" t="s">
        <v>350</v>
      </c>
      <c r="D121" s="22" t="s">
        <v>1056</v>
      </c>
      <c r="E121" s="22" t="s">
        <v>1056</v>
      </c>
      <c r="F121" s="22" t="s">
        <v>19</v>
      </c>
      <c r="G121" s="23" t="n">
        <v>1</v>
      </c>
      <c r="H121" s="24" t="n">
        <v>1</v>
      </c>
      <c r="I121" s="24" t="n">
        <v>5400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0" t="n">
        <v>44984.864097222</v>
      </c>
      <c r="B122" s="16" t="s">
        <v>30</v>
      </c>
      <c r="C122" s="16" t="s">
        <v>1116</v>
      </c>
      <c r="D122" s="16" t="s">
        <v>912</v>
      </c>
      <c r="E122" s="16" t="s">
        <v>17</v>
      </c>
      <c r="F122" s="16" t="s">
        <v>19</v>
      </c>
      <c r="G122" s="7" t="n">
        <v>10</v>
      </c>
      <c r="H122" s="6" t="n">
        <v>167.38</v>
      </c>
      <c r="I122" s="6" t="n">
        <v>-1673.8</v>
      </c>
      <c r="J122" s="6" t="n">
        <v>0</v>
      </c>
      <c r="K122" s="6" t="n">
        <v>-5.02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44984.864710648</v>
      </c>
      <c r="B123" s="16" t="s">
        <v>51</v>
      </c>
      <c r="C123" s="16" t="s">
        <v>1071</v>
      </c>
      <c r="D123" s="16" t="s">
        <v>912</v>
      </c>
      <c r="E123" s="16" t="s">
        <v>17</v>
      </c>
      <c r="F123" s="16" t="s">
        <v>19</v>
      </c>
      <c r="G123" s="7" t="n">
        <v>10000</v>
      </c>
      <c r="H123" s="6" t="n">
        <v>0.016425</v>
      </c>
      <c r="I123" s="6" t="n">
        <v>-164.25</v>
      </c>
      <c r="J123" s="6" t="n">
        <v>0</v>
      </c>
      <c r="K123" s="6" t="n">
        <v>-0.49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44984.866006944</v>
      </c>
      <c r="B124" s="16" t="s">
        <v>42</v>
      </c>
      <c r="C124" s="16" t="s">
        <v>1077</v>
      </c>
      <c r="D124" s="16" t="s">
        <v>912</v>
      </c>
      <c r="E124" s="16" t="s">
        <v>17</v>
      </c>
      <c r="F124" s="16" t="s">
        <v>19</v>
      </c>
      <c r="G124" s="7" t="n">
        <v>100</v>
      </c>
      <c r="H124" s="6" t="n">
        <v>3.4115</v>
      </c>
      <c r="I124" s="6" t="n">
        <v>-341.15</v>
      </c>
      <c r="J124" s="6" t="n">
        <v>0</v>
      </c>
      <c r="K124" s="6" t="n">
        <v>-1.02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44984.86693287</v>
      </c>
      <c r="B125" s="16" t="s">
        <v>16</v>
      </c>
      <c r="C125" s="16" t="s">
        <v>1112</v>
      </c>
      <c r="D125" s="16" t="s">
        <v>912</v>
      </c>
      <c r="E125" s="16" t="s">
        <v>17</v>
      </c>
      <c r="F125" s="16" t="s">
        <v>19</v>
      </c>
      <c r="G125" s="7" t="n">
        <v>10</v>
      </c>
      <c r="H125" s="6" t="n">
        <v>169.36</v>
      </c>
      <c r="I125" s="6" t="n">
        <v>-1693.6</v>
      </c>
      <c r="J125" s="6" t="n">
        <v>0</v>
      </c>
      <c r="K125" s="6" t="n">
        <v>-5.08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44984.868344907</v>
      </c>
      <c r="B126" s="16" t="s">
        <v>59</v>
      </c>
      <c r="C126" s="16" t="s">
        <v>1121</v>
      </c>
      <c r="D126" s="16" t="s">
        <v>912</v>
      </c>
      <c r="E126" s="16" t="s">
        <v>17</v>
      </c>
      <c r="F126" s="16" t="s">
        <v>19</v>
      </c>
      <c r="G126" s="7" t="n">
        <v>10</v>
      </c>
      <c r="H126" s="6" t="n">
        <v>28.24</v>
      </c>
      <c r="I126" s="6" t="n">
        <v>-282.4</v>
      </c>
      <c r="J126" s="6" t="n">
        <v>0</v>
      </c>
      <c r="K126" s="6" t="n">
        <v>-0.85</v>
      </c>
      <c r="L126" s="6" t="n">
        <v>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0" t="n">
        <v>44984.868923611</v>
      </c>
      <c r="B127" s="16" t="s">
        <v>36</v>
      </c>
      <c r="C127" s="16" t="s">
        <v>1122</v>
      </c>
      <c r="D127" s="16" t="s">
        <v>912</v>
      </c>
      <c r="E127" s="16" t="s">
        <v>17</v>
      </c>
      <c r="F127" s="16" t="s">
        <v>19</v>
      </c>
      <c r="G127" s="7" t="n">
        <v>10</v>
      </c>
      <c r="H127" s="6" t="n">
        <v>115.8</v>
      </c>
      <c r="I127" s="6" t="n">
        <v>-1158</v>
      </c>
      <c r="J127" s="6" t="n">
        <v>0</v>
      </c>
      <c r="K127" s="6" t="n">
        <v>-3.47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1" t="n">
        <v>44992.606435185</v>
      </c>
      <c r="B128" s="22" t="s">
        <v>1063</v>
      </c>
      <c r="C128" s="22" t="s">
        <v>1105</v>
      </c>
      <c r="D128" s="22" t="s">
        <v>1063</v>
      </c>
      <c r="E128" s="22" t="s">
        <v>1063</v>
      </c>
      <c r="F128" s="22" t="s">
        <v>19</v>
      </c>
      <c r="G128" s="23" t="n">
        <v>1</v>
      </c>
      <c r="H128" s="24" t="n">
        <v>1</v>
      </c>
      <c r="I128" s="24" t="n">
        <v>24.81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4"/>
      <c r="O128" s="22"/>
    </row>
    <row collapsed="false" customFormat="false" customHeight="false" hidden="false" ht="12.1" outlineLevel="0" r="129">
      <c r="A129" s="21" t="n">
        <v>44995.549201389</v>
      </c>
      <c r="B129" s="22" t="s">
        <v>1063</v>
      </c>
      <c r="C129" s="22" t="s">
        <v>1123</v>
      </c>
      <c r="D129" s="22" t="s">
        <v>1063</v>
      </c>
      <c r="E129" s="22" t="s">
        <v>1063</v>
      </c>
      <c r="F129" s="22" t="s">
        <v>19</v>
      </c>
      <c r="G129" s="23" t="n">
        <v>1</v>
      </c>
      <c r="H129" s="24" t="n">
        <v>1</v>
      </c>
      <c r="I129" s="24" t="n">
        <v>69.51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4"/>
      <c r="O129" s="22"/>
    </row>
    <row collapsed="false" customFormat="false" customHeight="false" hidden="false" ht="12.1" outlineLevel="0" r="130">
      <c r="A130" s="21" t="n">
        <v>44995.581087963</v>
      </c>
      <c r="B130" s="22" t="s">
        <v>1063</v>
      </c>
      <c r="C130" s="22" t="s">
        <v>1106</v>
      </c>
      <c r="D130" s="22" t="s">
        <v>1063</v>
      </c>
      <c r="E130" s="22" t="s">
        <v>1063</v>
      </c>
      <c r="F130" s="22" t="s">
        <v>19</v>
      </c>
      <c r="G130" s="23" t="n">
        <v>1</v>
      </c>
      <c r="H130" s="24" t="n">
        <v>1</v>
      </c>
      <c r="I130" s="24" t="n">
        <v>19.87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4"/>
      <c r="O130" s="22"/>
    </row>
    <row collapsed="false" customFormat="false" customHeight="false" hidden="false" ht="12.1" outlineLevel="0" r="131">
      <c r="A131" s="21" t="n">
        <v>44999.470023148</v>
      </c>
      <c r="B131" s="22" t="s">
        <v>1056</v>
      </c>
      <c r="C131" s="22" t="s">
        <v>350</v>
      </c>
      <c r="D131" s="22" t="s">
        <v>1056</v>
      </c>
      <c r="E131" s="22" t="s">
        <v>1056</v>
      </c>
      <c r="F131" s="22" t="s">
        <v>19</v>
      </c>
      <c r="G131" s="23" t="n">
        <v>1</v>
      </c>
      <c r="H131" s="24" t="n">
        <v>1</v>
      </c>
      <c r="I131" s="24" t="n">
        <v>948.56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/>
    </row>
    <row collapsed="false" customFormat="false" customHeight="false" hidden="false" ht="12.1" outlineLevel="0" r="132">
      <c r="A132" s="21" t="n">
        <v>44999.485439815</v>
      </c>
      <c r="B132" s="22" t="s">
        <v>1056</v>
      </c>
      <c r="C132" s="22" t="s">
        <v>350</v>
      </c>
      <c r="D132" s="22" t="s">
        <v>1056</v>
      </c>
      <c r="E132" s="22" t="s">
        <v>1056</v>
      </c>
      <c r="F132" s="22" t="s">
        <v>19</v>
      </c>
      <c r="G132" s="23" t="n">
        <v>1</v>
      </c>
      <c r="H132" s="24" t="n">
        <v>1</v>
      </c>
      <c r="I132" s="24" t="n">
        <v>600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4"/>
      <c r="O132" s="22"/>
    </row>
    <row collapsed="false" customFormat="false" customHeight="false" hidden="false" ht="12.1" outlineLevel="0" r="133">
      <c r="A133" s="20" t="n">
        <v>44999.485752315</v>
      </c>
      <c r="B133" s="16" t="s">
        <v>71</v>
      </c>
      <c r="C133" s="16" t="s">
        <v>1124</v>
      </c>
      <c r="D133" s="16" t="s">
        <v>912</v>
      </c>
      <c r="E133" s="16" t="s">
        <v>17</v>
      </c>
      <c r="F133" s="16" t="s">
        <v>19</v>
      </c>
      <c r="G133" s="7" t="n">
        <v>100</v>
      </c>
      <c r="H133" s="6" t="n">
        <v>22.26</v>
      </c>
      <c r="I133" s="6" t="n">
        <v>-2226</v>
      </c>
      <c r="J133" s="6" t="n">
        <v>0</v>
      </c>
      <c r="K133" s="6" t="n">
        <v>-6.68</v>
      </c>
      <c r="L133" s="6" t="n">
        <v>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1" t="n">
        <v>45001.706631944</v>
      </c>
      <c r="B134" s="22" t="s">
        <v>1056</v>
      </c>
      <c r="C134" s="22" t="s">
        <v>350</v>
      </c>
      <c r="D134" s="22" t="s">
        <v>1056</v>
      </c>
      <c r="E134" s="22" t="s">
        <v>1056</v>
      </c>
      <c r="F134" s="22" t="s">
        <v>19</v>
      </c>
      <c r="G134" s="23" t="n">
        <v>1</v>
      </c>
      <c r="H134" s="24" t="n">
        <v>1</v>
      </c>
      <c r="I134" s="24" t="n">
        <v>9200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1" t="n">
        <v>45001.707152778</v>
      </c>
      <c r="B135" s="22" t="s">
        <v>1056</v>
      </c>
      <c r="C135" s="22" t="s">
        <v>350</v>
      </c>
      <c r="D135" s="22" t="s">
        <v>1056</v>
      </c>
      <c r="E135" s="22" t="s">
        <v>1056</v>
      </c>
      <c r="F135" s="22" t="s">
        <v>19</v>
      </c>
      <c r="G135" s="23" t="n">
        <v>1</v>
      </c>
      <c r="H135" s="24" t="n">
        <v>1</v>
      </c>
      <c r="I135" s="24" t="n">
        <v>50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45001.707719907</v>
      </c>
      <c r="B136" s="16" t="s">
        <v>24</v>
      </c>
      <c r="C136" s="16" t="s">
        <v>1125</v>
      </c>
      <c r="D136" s="16" t="s">
        <v>912</v>
      </c>
      <c r="E136" s="16" t="s">
        <v>17</v>
      </c>
      <c r="F136" s="16" t="s">
        <v>19</v>
      </c>
      <c r="G136" s="7" t="n">
        <v>1</v>
      </c>
      <c r="H136" s="6" t="n">
        <v>9187.5</v>
      </c>
      <c r="I136" s="6" t="n">
        <v>-9187.5</v>
      </c>
      <c r="J136" s="6" t="n">
        <v>0</v>
      </c>
      <c r="K136" s="6" t="n">
        <v>-27.56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1" t="n">
        <v>45001.786354167</v>
      </c>
      <c r="B137" s="22" t="s">
        <v>1056</v>
      </c>
      <c r="C137" s="22" t="s">
        <v>350</v>
      </c>
      <c r="D137" s="22" t="s">
        <v>1056</v>
      </c>
      <c r="E137" s="22" t="s">
        <v>1056</v>
      </c>
      <c r="F137" s="22" t="s">
        <v>19</v>
      </c>
      <c r="G137" s="23" t="n">
        <v>1</v>
      </c>
      <c r="H137" s="24" t="n">
        <v>1</v>
      </c>
      <c r="I137" s="24" t="n">
        <v>150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1" t="n">
        <v>45006.751608796</v>
      </c>
      <c r="B138" s="22" t="s">
        <v>1056</v>
      </c>
      <c r="C138" s="22" t="s">
        <v>350</v>
      </c>
      <c r="D138" s="22" t="s">
        <v>1056</v>
      </c>
      <c r="E138" s="22" t="s">
        <v>1056</v>
      </c>
      <c r="F138" s="22" t="s">
        <v>19</v>
      </c>
      <c r="G138" s="23" t="n">
        <v>1</v>
      </c>
      <c r="H138" s="24" t="n">
        <v>1</v>
      </c>
      <c r="I138" s="24" t="n">
        <v>4506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4"/>
      <c r="O138" s="22"/>
    </row>
    <row collapsed="false" customFormat="false" customHeight="false" hidden="false" ht="12.1" outlineLevel="0" r="139">
      <c r="A139" s="20" t="n">
        <v>45006.772905093</v>
      </c>
      <c r="B139" s="16" t="s">
        <v>106</v>
      </c>
      <c r="C139" s="16" t="s">
        <v>1100</v>
      </c>
      <c r="D139" s="16" t="s">
        <v>912</v>
      </c>
      <c r="E139" s="16" t="s">
        <v>85</v>
      </c>
      <c r="F139" s="16" t="s">
        <v>19</v>
      </c>
      <c r="G139" s="7" t="n">
        <v>1</v>
      </c>
      <c r="H139" s="6" t="n">
        <v>79.395</v>
      </c>
      <c r="I139" s="6" t="n">
        <v>-793.95</v>
      </c>
      <c r="J139" s="6" t="n">
        <v>-35.44</v>
      </c>
      <c r="K139" s="6" t="n">
        <v>-2.38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0" t="n">
        <v>45006.773148148</v>
      </c>
      <c r="B140" s="16" t="s">
        <v>136</v>
      </c>
      <c r="C140" s="16" t="s">
        <v>1066</v>
      </c>
      <c r="D140" s="16" t="s">
        <v>912</v>
      </c>
      <c r="E140" s="16" t="s">
        <v>85</v>
      </c>
      <c r="F140" s="16" t="s">
        <v>19</v>
      </c>
      <c r="G140" s="7" t="n">
        <v>1</v>
      </c>
      <c r="H140" s="6" t="n">
        <v>79.73</v>
      </c>
      <c r="I140" s="6" t="n">
        <v>-797.3</v>
      </c>
      <c r="J140" s="6" t="n">
        <v>-23.64</v>
      </c>
      <c r="K140" s="6" t="n">
        <v>-2.39</v>
      </c>
      <c r="L140" s="6" t="n">
        <v>0</v>
      </c>
      <c r="M140" s="6" t="s">
        <f>=I140+J140+K140+L140</f>
      </c>
      <c r="N140" s="6"/>
      <c r="O140" s="16"/>
    </row>
    <row collapsed="false" customFormat="false" customHeight="false" hidden="false" ht="12.1" outlineLevel="0" r="141">
      <c r="A141" s="20" t="n">
        <v>45006.773622685</v>
      </c>
      <c r="B141" s="16" t="s">
        <v>103</v>
      </c>
      <c r="C141" s="16" t="s">
        <v>1061</v>
      </c>
      <c r="D141" s="16" t="s">
        <v>912</v>
      </c>
      <c r="E141" s="16" t="s">
        <v>85</v>
      </c>
      <c r="F141" s="16" t="s">
        <v>19</v>
      </c>
      <c r="G141" s="7" t="n">
        <v>1</v>
      </c>
      <c r="H141" s="6" t="n">
        <v>77.748</v>
      </c>
      <c r="I141" s="6" t="n">
        <v>-777.48</v>
      </c>
      <c r="J141" s="6" t="n">
        <v>0</v>
      </c>
      <c r="K141" s="6" t="n">
        <v>-2.33</v>
      </c>
      <c r="L141" s="6" t="n">
        <v>0</v>
      </c>
      <c r="M141" s="6" t="s">
        <f>=I141+J141+K141+L141</f>
      </c>
      <c r="N141" s="6"/>
      <c r="O141" s="16"/>
    </row>
    <row collapsed="false" customFormat="false" customHeight="false" hidden="false" ht="12.1" outlineLevel="0" r="142">
      <c r="A142" s="20" t="n">
        <v>45006.773900463</v>
      </c>
      <c r="B142" s="16" t="s">
        <v>112</v>
      </c>
      <c r="C142" s="16" t="s">
        <v>1110</v>
      </c>
      <c r="D142" s="16" t="s">
        <v>912</v>
      </c>
      <c r="E142" s="16" t="s">
        <v>85</v>
      </c>
      <c r="F142" s="16" t="s">
        <v>19</v>
      </c>
      <c r="G142" s="7" t="n">
        <v>1</v>
      </c>
      <c r="H142" s="6" t="n">
        <v>75.425</v>
      </c>
      <c r="I142" s="6" t="n">
        <v>-754.25</v>
      </c>
      <c r="J142" s="6" t="n">
        <v>-6.71</v>
      </c>
      <c r="K142" s="6" t="n">
        <v>-2.26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0" t="n">
        <v>45006.774212963</v>
      </c>
      <c r="B143" s="16" t="s">
        <v>94</v>
      </c>
      <c r="C143" s="16" t="s">
        <v>1107</v>
      </c>
      <c r="D143" s="16" t="s">
        <v>912</v>
      </c>
      <c r="E143" s="16" t="s">
        <v>85</v>
      </c>
      <c r="F143" s="16" t="s">
        <v>19</v>
      </c>
      <c r="G143" s="7" t="n">
        <v>1</v>
      </c>
      <c r="H143" s="6" t="n">
        <v>73.403</v>
      </c>
      <c r="I143" s="6" t="n">
        <v>-734.03</v>
      </c>
      <c r="J143" s="6" t="n">
        <v>-20.42</v>
      </c>
      <c r="K143" s="6" t="n">
        <v>-2.2</v>
      </c>
      <c r="L143" s="6" t="n">
        <v>0</v>
      </c>
      <c r="M143" s="6" t="s">
        <f>=I143+J143+K143+L143</f>
      </c>
      <c r="N143" s="6"/>
      <c r="O143" s="16"/>
    </row>
    <row collapsed="false" customFormat="false" customHeight="false" hidden="false" ht="12.1" outlineLevel="0" r="144">
      <c r="A144" s="21" t="n">
        <v>45007.523668981</v>
      </c>
      <c r="B144" s="22" t="s">
        <v>1063</v>
      </c>
      <c r="C144" s="22" t="s">
        <v>1126</v>
      </c>
      <c r="D144" s="22" t="s">
        <v>1063</v>
      </c>
      <c r="E144" s="22" t="s">
        <v>1063</v>
      </c>
      <c r="F144" s="22" t="s">
        <v>19</v>
      </c>
      <c r="G144" s="23" t="n">
        <v>1</v>
      </c>
      <c r="H144" s="24" t="n">
        <v>1</v>
      </c>
      <c r="I144" s="24" t="n">
        <v>39.39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1" t="n">
        <v>45008.392372685</v>
      </c>
      <c r="B145" s="22" t="s">
        <v>1063</v>
      </c>
      <c r="C145" s="22" t="s">
        <v>1085</v>
      </c>
      <c r="D145" s="22" t="s">
        <v>1063</v>
      </c>
      <c r="E145" s="22" t="s">
        <v>1063</v>
      </c>
      <c r="F145" s="22" t="s">
        <v>19</v>
      </c>
      <c r="G145" s="23" t="n">
        <v>1</v>
      </c>
      <c r="H145" s="24" t="n">
        <v>1</v>
      </c>
      <c r="I145" s="24" t="n">
        <v>58.84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45009.672604167</v>
      </c>
      <c r="B146" s="22" t="s">
        <v>1056</v>
      </c>
      <c r="C146" s="22" t="s">
        <v>350</v>
      </c>
      <c r="D146" s="22" t="s">
        <v>1056</v>
      </c>
      <c r="E146" s="22" t="s">
        <v>1056</v>
      </c>
      <c r="F146" s="22" t="s">
        <v>19</v>
      </c>
      <c r="G146" s="23" t="n">
        <v>1</v>
      </c>
      <c r="H146" s="24" t="n">
        <v>1</v>
      </c>
      <c r="I146" s="24" t="n">
        <v>186.49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4"/>
      <c r="O146" s="22"/>
    </row>
    <row collapsed="false" customFormat="false" customHeight="false" hidden="false" ht="12.1" outlineLevel="0" r="147">
      <c r="A147" s="21" t="n">
        <v>45009.695150463</v>
      </c>
      <c r="B147" s="22" t="s">
        <v>1056</v>
      </c>
      <c r="C147" s="22" t="s">
        <v>350</v>
      </c>
      <c r="D147" s="22" t="s">
        <v>1056</v>
      </c>
      <c r="E147" s="22" t="s">
        <v>1056</v>
      </c>
      <c r="F147" s="22" t="s">
        <v>19</v>
      </c>
      <c r="G147" s="23" t="n">
        <v>1</v>
      </c>
      <c r="H147" s="24" t="n">
        <v>1</v>
      </c>
      <c r="I147" s="24" t="n">
        <v>200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4"/>
      <c r="O147" s="22"/>
    </row>
    <row collapsed="false" customFormat="false" customHeight="false" hidden="false" ht="12.1" outlineLevel="0" r="148">
      <c r="A148" s="20" t="n">
        <v>45009.695763889</v>
      </c>
      <c r="B148" s="16" t="s">
        <v>157</v>
      </c>
      <c r="C148" s="16" t="s">
        <v>1127</v>
      </c>
      <c r="D148" s="16" t="s">
        <v>912</v>
      </c>
      <c r="E148" s="16" t="s">
        <v>85</v>
      </c>
      <c r="F148" s="16" t="s">
        <v>19</v>
      </c>
      <c r="G148" s="7" t="n">
        <v>1</v>
      </c>
      <c r="H148" s="6" t="n">
        <v>78.27365543521</v>
      </c>
      <c r="I148" s="6" t="n">
        <v>-1133.88</v>
      </c>
      <c r="J148" s="6" t="n">
        <v>-14.41</v>
      </c>
      <c r="K148" s="6" t="n">
        <v>-3.4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45016.420127315</v>
      </c>
      <c r="B149" s="22" t="s">
        <v>1063</v>
      </c>
      <c r="C149" s="22" t="s">
        <v>1128</v>
      </c>
      <c r="D149" s="22" t="s">
        <v>1063</v>
      </c>
      <c r="E149" s="22" t="s">
        <v>1063</v>
      </c>
      <c r="F149" s="22" t="s">
        <v>19</v>
      </c>
      <c r="G149" s="23" t="n">
        <v>1</v>
      </c>
      <c r="H149" s="24" t="n">
        <v>1</v>
      </c>
      <c r="I149" s="24" t="n">
        <v>14.58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4"/>
      <c r="O149" s="22"/>
    </row>
    <row collapsed="false" customFormat="false" customHeight="false" hidden="false" ht="12.1" outlineLevel="0" r="150">
      <c r="A150" s="21" t="n">
        <v>45022.424814815</v>
      </c>
      <c r="B150" s="22" t="s">
        <v>1063</v>
      </c>
      <c r="C150" s="22" t="s">
        <v>1129</v>
      </c>
      <c r="D150" s="22" t="s">
        <v>1063</v>
      </c>
      <c r="E150" s="22" t="s">
        <v>1063</v>
      </c>
      <c r="F150" s="22" t="s">
        <v>19</v>
      </c>
      <c r="G150" s="23" t="n">
        <v>1</v>
      </c>
      <c r="H150" s="24" t="n">
        <v>1</v>
      </c>
      <c r="I150" s="24" t="n">
        <v>38.39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1" t="n">
        <v>45022.629699074</v>
      </c>
      <c r="B151" s="22" t="s">
        <v>1063</v>
      </c>
      <c r="C151" s="22" t="s">
        <v>1130</v>
      </c>
      <c r="D151" s="22" t="s">
        <v>1063</v>
      </c>
      <c r="E151" s="22" t="s">
        <v>1063</v>
      </c>
      <c r="F151" s="22" t="s">
        <v>19</v>
      </c>
      <c r="G151" s="23" t="n">
        <v>1</v>
      </c>
      <c r="H151" s="24" t="n">
        <v>1</v>
      </c>
      <c r="I151" s="24" t="n">
        <v>115.17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4"/>
      <c r="O151" s="22"/>
    </row>
    <row collapsed="false" customFormat="false" customHeight="false" hidden="false" ht="12.1" outlineLevel="0" r="152">
      <c r="A152" s="21" t="n">
        <v>45023.405462963</v>
      </c>
      <c r="B152" s="22" t="s">
        <v>1063</v>
      </c>
      <c r="C152" s="22" t="s">
        <v>1072</v>
      </c>
      <c r="D152" s="22" t="s">
        <v>1063</v>
      </c>
      <c r="E152" s="22" t="s">
        <v>1063</v>
      </c>
      <c r="F152" s="22" t="s">
        <v>19</v>
      </c>
      <c r="G152" s="23" t="n">
        <v>1</v>
      </c>
      <c r="H152" s="24" t="n">
        <v>1</v>
      </c>
      <c r="I152" s="24" t="n">
        <v>20.94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4"/>
      <c r="O152" s="22"/>
    </row>
    <row collapsed="false" customFormat="false" customHeight="false" hidden="false" ht="12.1" outlineLevel="0" r="153">
      <c r="A153" s="21" t="n">
        <v>45023.94025463</v>
      </c>
      <c r="B153" s="22" t="s">
        <v>1056</v>
      </c>
      <c r="C153" s="22" t="s">
        <v>350</v>
      </c>
      <c r="D153" s="22" t="s">
        <v>1056</v>
      </c>
      <c r="E153" s="22" t="s">
        <v>1056</v>
      </c>
      <c r="F153" s="22" t="s">
        <v>19</v>
      </c>
      <c r="G153" s="23" t="n">
        <v>1</v>
      </c>
      <c r="H153" s="24" t="n">
        <v>1</v>
      </c>
      <c r="I153" s="24" t="n">
        <v>5000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</row>
    <row collapsed="false" customFormat="false" customHeight="false" hidden="false" ht="12.1" outlineLevel="0" r="154">
      <c r="A154" s="20" t="n">
        <v>45026.418125</v>
      </c>
      <c r="B154" s="16" t="s">
        <v>157</v>
      </c>
      <c r="C154" s="16" t="s">
        <v>1127</v>
      </c>
      <c r="D154" s="16" t="s">
        <v>912</v>
      </c>
      <c r="E154" s="16" t="s">
        <v>85</v>
      </c>
      <c r="F154" s="16" t="s">
        <v>19</v>
      </c>
      <c r="G154" s="7" t="n">
        <v>1</v>
      </c>
      <c r="H154" s="6" t="n">
        <v>78.506982555691</v>
      </c>
      <c r="I154" s="6" t="n">
        <v>-1137.26</v>
      </c>
      <c r="J154" s="6" t="n">
        <v>-1.05</v>
      </c>
      <c r="K154" s="6" t="n">
        <v>-3.41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45026.418333333</v>
      </c>
      <c r="B155" s="16" t="s">
        <v>139</v>
      </c>
      <c r="C155" s="16" t="s">
        <v>1131</v>
      </c>
      <c r="D155" s="16" t="s">
        <v>912</v>
      </c>
      <c r="E155" s="16" t="s">
        <v>85</v>
      </c>
      <c r="F155" s="16" t="s">
        <v>19</v>
      </c>
      <c r="G155" s="7" t="n">
        <v>1</v>
      </c>
      <c r="H155" s="6" t="n">
        <v>82.302672342343</v>
      </c>
      <c r="I155" s="6" t="n">
        <v>-1022.8</v>
      </c>
      <c r="J155" s="6" t="n">
        <v>-1.8600000000001</v>
      </c>
      <c r="K155" s="6" t="n">
        <v>-3.07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45026.419988426</v>
      </c>
      <c r="B156" s="16" t="s">
        <v>51</v>
      </c>
      <c r="C156" s="16" t="s">
        <v>1071</v>
      </c>
      <c r="D156" s="16" t="s">
        <v>912</v>
      </c>
      <c r="E156" s="16" t="s">
        <v>17</v>
      </c>
      <c r="F156" s="16" t="s">
        <v>19</v>
      </c>
      <c r="G156" s="7" t="n">
        <v>30000</v>
      </c>
      <c r="H156" s="6" t="n">
        <v>0.018895</v>
      </c>
      <c r="I156" s="6" t="n">
        <v>-566.85</v>
      </c>
      <c r="J156" s="6" t="n">
        <v>0</v>
      </c>
      <c r="K156" s="6" t="n">
        <v>-1.7</v>
      </c>
      <c r="L156" s="6" t="n">
        <v>0</v>
      </c>
      <c r="M156" s="6" t="s">
        <f>=I156+J156+K156+L156</f>
      </c>
      <c r="N156" s="6"/>
      <c r="O156" s="16"/>
    </row>
    <row collapsed="false" customFormat="false" customHeight="false" hidden="false" ht="12.1" outlineLevel="0" r="157">
      <c r="A157" s="20" t="n">
        <v>45026.420439815</v>
      </c>
      <c r="B157" s="16" t="s">
        <v>42</v>
      </c>
      <c r="C157" s="16" t="s">
        <v>1077</v>
      </c>
      <c r="D157" s="16" t="s">
        <v>912</v>
      </c>
      <c r="E157" s="16" t="s">
        <v>17</v>
      </c>
      <c r="F157" s="16" t="s">
        <v>19</v>
      </c>
      <c r="G157" s="7" t="n">
        <v>200</v>
      </c>
      <c r="H157" s="6" t="n">
        <v>3.8395</v>
      </c>
      <c r="I157" s="6" t="n">
        <v>-767.9</v>
      </c>
      <c r="J157" s="6" t="n">
        <v>0</v>
      </c>
      <c r="K157" s="6" t="n">
        <v>-2.3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45026.421180556</v>
      </c>
      <c r="B158" s="16" t="s">
        <v>139</v>
      </c>
      <c r="C158" s="16" t="s">
        <v>1131</v>
      </c>
      <c r="D158" s="16" t="s">
        <v>912</v>
      </c>
      <c r="E158" s="16" t="s">
        <v>85</v>
      </c>
      <c r="F158" s="16" t="s">
        <v>19</v>
      </c>
      <c r="G158" s="7" t="n">
        <v>1</v>
      </c>
      <c r="H158" s="6" t="n">
        <v>82.302672342343</v>
      </c>
      <c r="I158" s="6" t="n">
        <v>-1022.8</v>
      </c>
      <c r="J158" s="6" t="n">
        <v>-1.8600000000001</v>
      </c>
      <c r="K158" s="6" t="n">
        <v>-3.07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45026.495081019</v>
      </c>
      <c r="B159" s="16" t="s">
        <v>331</v>
      </c>
      <c r="C159" s="16" t="s">
        <v>1132</v>
      </c>
      <c r="D159" s="16" t="s">
        <v>912</v>
      </c>
      <c r="E159" s="16" t="s">
        <v>85</v>
      </c>
      <c r="F159" s="16" t="s">
        <v>19</v>
      </c>
      <c r="G159" s="7" t="n">
        <v>1</v>
      </c>
      <c r="H159" s="6" t="n">
        <v>89.44</v>
      </c>
      <c r="I159" s="6" t="n">
        <v>-559</v>
      </c>
      <c r="J159" s="6" t="n">
        <v>-5.59</v>
      </c>
      <c r="K159" s="6" t="n">
        <v>-1.68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1" t="n">
        <v>45029.644953704</v>
      </c>
      <c r="B160" s="22" t="s">
        <v>1063</v>
      </c>
      <c r="C160" s="22" t="s">
        <v>1133</v>
      </c>
      <c r="D160" s="22" t="s">
        <v>1063</v>
      </c>
      <c r="E160" s="22" t="s">
        <v>1063</v>
      </c>
      <c r="F160" s="22" t="s">
        <v>19</v>
      </c>
      <c r="G160" s="23" t="n">
        <v>1</v>
      </c>
      <c r="H160" s="24" t="n">
        <v>1</v>
      </c>
      <c r="I160" s="24" t="n">
        <v>116.68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4"/>
      <c r="O160" s="22"/>
    </row>
    <row collapsed="false" customFormat="false" customHeight="false" hidden="false" ht="12.1" outlineLevel="0" r="161">
      <c r="A161" s="21" t="n">
        <v>45030.317534722</v>
      </c>
      <c r="B161" s="22" t="s">
        <v>1056</v>
      </c>
      <c r="C161" s="22" t="s">
        <v>350</v>
      </c>
      <c r="D161" s="22" t="s">
        <v>1056</v>
      </c>
      <c r="E161" s="22" t="s">
        <v>1056</v>
      </c>
      <c r="F161" s="22" t="s">
        <v>19</v>
      </c>
      <c r="G161" s="23" t="n">
        <v>1</v>
      </c>
      <c r="H161" s="24" t="n">
        <v>1</v>
      </c>
      <c r="I161" s="24" t="n">
        <v>1182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4"/>
      <c r="O161" s="22"/>
    </row>
    <row collapsed="false" customFormat="false" customHeight="false" hidden="false" ht="12.1" outlineLevel="0" r="162">
      <c r="A162" s="20" t="n">
        <v>45030.686076389</v>
      </c>
      <c r="B162" s="16" t="s">
        <v>157</v>
      </c>
      <c r="C162" s="16" t="s">
        <v>1127</v>
      </c>
      <c r="D162" s="16" t="s">
        <v>912</v>
      </c>
      <c r="E162" s="16" t="s">
        <v>85</v>
      </c>
      <c r="F162" s="16" t="s">
        <v>19</v>
      </c>
      <c r="G162" s="7" t="n">
        <v>1</v>
      </c>
      <c r="H162" s="6" t="n">
        <v>78.501460020295</v>
      </c>
      <c r="I162" s="6" t="n">
        <v>-1137.18</v>
      </c>
      <c r="J162" s="6" t="n">
        <v>-1.53</v>
      </c>
      <c r="K162" s="6" t="n">
        <v>-3.41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1" t="n">
        <v>45035.727997685</v>
      </c>
      <c r="B163" s="22" t="s">
        <v>1056</v>
      </c>
      <c r="C163" s="22" t="s">
        <v>350</v>
      </c>
      <c r="D163" s="22" t="s">
        <v>1056</v>
      </c>
      <c r="E163" s="22" t="s">
        <v>1056</v>
      </c>
      <c r="F163" s="22" t="s">
        <v>19</v>
      </c>
      <c r="G163" s="23" t="n">
        <v>1</v>
      </c>
      <c r="H163" s="24" t="n">
        <v>1</v>
      </c>
      <c r="I163" s="24" t="n">
        <v>758.7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0" t="n">
        <v>45035.755381944</v>
      </c>
      <c r="B164" s="16" t="s">
        <v>62</v>
      </c>
      <c r="C164" s="16" t="s">
        <v>1134</v>
      </c>
      <c r="D164" s="16" t="s">
        <v>912</v>
      </c>
      <c r="E164" s="16" t="s">
        <v>17</v>
      </c>
      <c r="F164" s="16" t="s">
        <v>19</v>
      </c>
      <c r="G164" s="7" t="n">
        <v>10</v>
      </c>
      <c r="H164" s="6" t="n">
        <v>63.62</v>
      </c>
      <c r="I164" s="6" t="n">
        <v>-636.2</v>
      </c>
      <c r="J164" s="6" t="n">
        <v>0</v>
      </c>
      <c r="K164" s="6" t="n">
        <v>-1.91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1" t="n">
        <v>45043.477037037</v>
      </c>
      <c r="B165" s="22" t="s">
        <v>1063</v>
      </c>
      <c r="C165" s="22" t="s">
        <v>1080</v>
      </c>
      <c r="D165" s="22" t="s">
        <v>1063</v>
      </c>
      <c r="E165" s="22" t="s">
        <v>1063</v>
      </c>
      <c r="F165" s="22" t="s">
        <v>19</v>
      </c>
      <c r="G165" s="23" t="n">
        <v>1</v>
      </c>
      <c r="H165" s="24" t="n">
        <v>1</v>
      </c>
      <c r="I165" s="24" t="n">
        <v>17.98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1" t="n">
        <v>45049.518622685</v>
      </c>
      <c r="B166" s="22" t="s">
        <v>1063</v>
      </c>
      <c r="C166" s="22" t="s">
        <v>1117</v>
      </c>
      <c r="D166" s="22" t="s">
        <v>1063</v>
      </c>
      <c r="E166" s="22" t="s">
        <v>1063</v>
      </c>
      <c r="F166" s="22" t="s">
        <v>19</v>
      </c>
      <c r="G166" s="23" t="n">
        <v>1</v>
      </c>
      <c r="H166" s="24" t="n">
        <v>1</v>
      </c>
      <c r="I166" s="24" t="n">
        <v>28.22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4"/>
      <c r="O166" s="22"/>
    </row>
    <row collapsed="false" customFormat="false" customHeight="false" hidden="false" ht="12.1" outlineLevel="0" r="167">
      <c r="A167" s="21" t="n">
        <v>45051.488842593</v>
      </c>
      <c r="B167" s="22" t="s">
        <v>1063</v>
      </c>
      <c r="C167" s="22" t="s">
        <v>1101</v>
      </c>
      <c r="D167" s="22" t="s">
        <v>1063</v>
      </c>
      <c r="E167" s="22" t="s">
        <v>1063</v>
      </c>
      <c r="F167" s="22" t="s">
        <v>19</v>
      </c>
      <c r="G167" s="23" t="n">
        <v>1</v>
      </c>
      <c r="H167" s="24" t="n">
        <v>1</v>
      </c>
      <c r="I167" s="24" t="n">
        <v>42.38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1" t="n">
        <v>45053.581898148</v>
      </c>
      <c r="B168" s="22" t="s">
        <v>1056</v>
      </c>
      <c r="C168" s="22" t="s">
        <v>350</v>
      </c>
      <c r="D168" s="22" t="s">
        <v>1056</v>
      </c>
      <c r="E168" s="22" t="s">
        <v>1056</v>
      </c>
      <c r="F168" s="22" t="s">
        <v>19</v>
      </c>
      <c r="G168" s="23" t="n">
        <v>1</v>
      </c>
      <c r="H168" s="24" t="n">
        <v>1</v>
      </c>
      <c r="I168" s="24" t="n">
        <v>5000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0" t="n">
        <v>45056.494305556</v>
      </c>
      <c r="B169" s="16" t="s">
        <v>16</v>
      </c>
      <c r="C169" s="16" t="s">
        <v>1112</v>
      </c>
      <c r="D169" s="16" t="s">
        <v>912</v>
      </c>
      <c r="E169" s="16" t="s">
        <v>17</v>
      </c>
      <c r="F169" s="16" t="s">
        <v>19</v>
      </c>
      <c r="G169" s="7" t="n">
        <v>10</v>
      </c>
      <c r="H169" s="6" t="n">
        <v>221.69</v>
      </c>
      <c r="I169" s="6" t="n">
        <v>-2216.9</v>
      </c>
      <c r="J169" s="6" t="n">
        <v>0</v>
      </c>
      <c r="K169" s="6" t="n">
        <v>-6.65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0" t="n">
        <v>45056.495578704</v>
      </c>
      <c r="B170" s="16" t="s">
        <v>16</v>
      </c>
      <c r="C170" s="16" t="s">
        <v>1112</v>
      </c>
      <c r="D170" s="16" t="s">
        <v>912</v>
      </c>
      <c r="E170" s="16" t="s">
        <v>17</v>
      </c>
      <c r="F170" s="16" t="s">
        <v>19</v>
      </c>
      <c r="G170" s="7" t="n">
        <v>10</v>
      </c>
      <c r="H170" s="6" t="n">
        <v>221.65</v>
      </c>
      <c r="I170" s="6" t="n">
        <v>-2216.5</v>
      </c>
      <c r="J170" s="6" t="n">
        <v>0</v>
      </c>
      <c r="K170" s="6" t="n">
        <v>-6.65</v>
      </c>
      <c r="L170" s="6" t="n">
        <v>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0" t="n">
        <v>45056.500104167</v>
      </c>
      <c r="B171" s="16" t="s">
        <v>923</v>
      </c>
      <c r="C171" s="16" t="s">
        <v>1135</v>
      </c>
      <c r="D171" s="16" t="s">
        <v>912</v>
      </c>
      <c r="E171" s="16" t="s">
        <v>85</v>
      </c>
      <c r="F171" s="16" t="s">
        <v>19</v>
      </c>
      <c r="G171" s="7" t="n">
        <v>1</v>
      </c>
      <c r="H171" s="6" t="n">
        <v>96.99</v>
      </c>
      <c r="I171" s="6" t="n">
        <v>-969.9</v>
      </c>
      <c r="J171" s="6" t="n">
        <v>-28.49</v>
      </c>
      <c r="K171" s="6" t="n">
        <v>-2.91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1" t="n">
        <v>45061.400497685</v>
      </c>
      <c r="B172" s="22" t="s">
        <v>1056</v>
      </c>
      <c r="C172" s="22" t="s">
        <v>350</v>
      </c>
      <c r="D172" s="22" t="s">
        <v>1056</v>
      </c>
      <c r="E172" s="22" t="s">
        <v>1056</v>
      </c>
      <c r="F172" s="22" t="s">
        <v>19</v>
      </c>
      <c r="G172" s="23" t="n">
        <v>1</v>
      </c>
      <c r="H172" s="24" t="n">
        <v>1</v>
      </c>
      <c r="I172" s="24" t="n">
        <v>801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4"/>
      <c r="O172" s="22"/>
    </row>
    <row collapsed="false" customFormat="false" customHeight="false" hidden="false" ht="12.1" outlineLevel="0" r="173">
      <c r="A173" s="21" t="n">
        <v>45061.406909722</v>
      </c>
      <c r="B173" s="22" t="s">
        <v>1056</v>
      </c>
      <c r="C173" s="22" t="s">
        <v>350</v>
      </c>
      <c r="D173" s="22" t="s">
        <v>1056</v>
      </c>
      <c r="E173" s="22" t="s">
        <v>1056</v>
      </c>
      <c r="F173" s="22" t="s">
        <v>19</v>
      </c>
      <c r="G173" s="23" t="n">
        <v>1</v>
      </c>
      <c r="H173" s="24" t="n">
        <v>1</v>
      </c>
      <c r="I173" s="24" t="n">
        <v>2000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0" t="n">
        <v>45061.608680556</v>
      </c>
      <c r="B174" s="16" t="s">
        <v>84</v>
      </c>
      <c r="C174" s="16" t="s">
        <v>1065</v>
      </c>
      <c r="D174" s="16" t="s">
        <v>912</v>
      </c>
      <c r="E174" s="16" t="s">
        <v>85</v>
      </c>
      <c r="F174" s="16" t="s">
        <v>19</v>
      </c>
      <c r="G174" s="7" t="n">
        <v>1</v>
      </c>
      <c r="H174" s="6" t="n">
        <v>71.243</v>
      </c>
      <c r="I174" s="6" t="n">
        <v>-712.43</v>
      </c>
      <c r="J174" s="6" t="n">
        <v>-17.38</v>
      </c>
      <c r="K174" s="6" t="n">
        <v>-2.14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45061.612777778</v>
      </c>
      <c r="B175" s="16" t="s">
        <v>124</v>
      </c>
      <c r="C175" s="16" t="s">
        <v>1136</v>
      </c>
      <c r="D175" s="16" t="s">
        <v>912</v>
      </c>
      <c r="E175" s="16" t="s">
        <v>85</v>
      </c>
      <c r="F175" s="16" t="s">
        <v>19</v>
      </c>
      <c r="G175" s="7" t="n">
        <v>1</v>
      </c>
      <c r="H175" s="6" t="n">
        <v>88.963</v>
      </c>
      <c r="I175" s="6" t="n">
        <v>-889.63</v>
      </c>
      <c r="J175" s="6" t="n">
        <v>-5.66</v>
      </c>
      <c r="K175" s="6" t="n">
        <v>-2.67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0" t="n">
        <v>45061.6140625</v>
      </c>
      <c r="B176" s="16" t="s">
        <v>124</v>
      </c>
      <c r="C176" s="16" t="s">
        <v>1136</v>
      </c>
      <c r="D176" s="16" t="s">
        <v>912</v>
      </c>
      <c r="E176" s="16" t="s">
        <v>85</v>
      </c>
      <c r="F176" s="16" t="s">
        <v>19</v>
      </c>
      <c r="G176" s="7" t="n">
        <v>1</v>
      </c>
      <c r="H176" s="6" t="n">
        <v>88.963</v>
      </c>
      <c r="I176" s="6" t="n">
        <v>-889.63</v>
      </c>
      <c r="J176" s="6" t="n">
        <v>-5.66</v>
      </c>
      <c r="K176" s="6" t="n">
        <v>-2.67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1" t="n">
        <v>45064.552048611</v>
      </c>
      <c r="B177" s="22" t="s">
        <v>1063</v>
      </c>
      <c r="C177" s="22" t="s">
        <v>1102</v>
      </c>
      <c r="D177" s="22" t="s">
        <v>1063</v>
      </c>
      <c r="E177" s="22" t="s">
        <v>1063</v>
      </c>
      <c r="F177" s="22" t="s">
        <v>19</v>
      </c>
      <c r="G177" s="23" t="n">
        <v>1</v>
      </c>
      <c r="H177" s="24" t="n">
        <v>1</v>
      </c>
      <c r="I177" s="24" t="n">
        <v>153.63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4"/>
      <c r="O177" s="22"/>
    </row>
    <row collapsed="false" customFormat="false" customHeight="false" hidden="false" ht="12.1" outlineLevel="0" r="178">
      <c r="A178" s="21" t="n">
        <v>45065.64244213</v>
      </c>
      <c r="B178" s="22" t="s">
        <v>1063</v>
      </c>
      <c r="C178" s="22" t="s">
        <v>1088</v>
      </c>
      <c r="D178" s="22" t="s">
        <v>1063</v>
      </c>
      <c r="E178" s="22" t="s">
        <v>1063</v>
      </c>
      <c r="F178" s="22" t="s">
        <v>19</v>
      </c>
      <c r="G178" s="23" t="n">
        <v>1</v>
      </c>
      <c r="H178" s="24" t="n">
        <v>1</v>
      </c>
      <c r="I178" s="24" t="n">
        <v>60.58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5" t="n">
        <v>45065.64244213</v>
      </c>
      <c r="B179" s="26" t="s">
        <v>1089</v>
      </c>
      <c r="C179" s="26" t="s">
        <v>1090</v>
      </c>
      <c r="D179" s="26" t="s">
        <v>1089</v>
      </c>
      <c r="E179" s="26" t="s">
        <v>1089</v>
      </c>
      <c r="F179" s="26" t="s">
        <v>19</v>
      </c>
      <c r="G179" s="27" t="n">
        <v>1</v>
      </c>
      <c r="H179" s="28" t="n">
        <v>-8</v>
      </c>
      <c r="I179" s="28" t="n">
        <v>-8</v>
      </c>
      <c r="J179" s="28" t="n">
        <v>0</v>
      </c>
      <c r="K179" s="28" t="n">
        <v>0</v>
      </c>
      <c r="L179" s="28" t="n">
        <v>0</v>
      </c>
      <c r="M179" s="6" t="s">
        <f>=I179+J179+K179+L179</f>
      </c>
      <c r="N179" s="28"/>
      <c r="O179" s="26"/>
    </row>
    <row collapsed="false" customFormat="false" customHeight="false" hidden="false" ht="12.1" outlineLevel="0" r="180">
      <c r="A180" s="21" t="n">
        <v>45069.4671875</v>
      </c>
      <c r="B180" s="22" t="s">
        <v>1063</v>
      </c>
      <c r="C180" s="22" t="s">
        <v>1137</v>
      </c>
      <c r="D180" s="22" t="s">
        <v>1063</v>
      </c>
      <c r="E180" s="22" t="s">
        <v>1063</v>
      </c>
      <c r="F180" s="22" t="s">
        <v>19</v>
      </c>
      <c r="G180" s="23" t="n">
        <v>1</v>
      </c>
      <c r="H180" s="24" t="n">
        <v>1</v>
      </c>
      <c r="I180" s="24" t="n">
        <v>32.41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45071.470555556</v>
      </c>
      <c r="B181" s="22" t="s">
        <v>1063</v>
      </c>
      <c r="C181" s="22" t="s">
        <v>1064</v>
      </c>
      <c r="D181" s="22" t="s">
        <v>1063</v>
      </c>
      <c r="E181" s="22" t="s">
        <v>1063</v>
      </c>
      <c r="F181" s="22" t="s">
        <v>19</v>
      </c>
      <c r="G181" s="23" t="n">
        <v>1</v>
      </c>
      <c r="H181" s="24" t="n">
        <v>1</v>
      </c>
      <c r="I181" s="24" t="n">
        <v>10.72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4"/>
      <c r="O181" s="22"/>
    </row>
    <row collapsed="false" customFormat="false" customHeight="false" hidden="false" ht="12.1" outlineLevel="0" r="182">
      <c r="A182" s="21" t="n">
        <v>45071.536481481</v>
      </c>
      <c r="B182" s="22" t="s">
        <v>1063</v>
      </c>
      <c r="C182" s="22" t="s">
        <v>1138</v>
      </c>
      <c r="D182" s="22" t="s">
        <v>1063</v>
      </c>
      <c r="E182" s="22" t="s">
        <v>1063</v>
      </c>
      <c r="F182" s="22" t="s">
        <v>19</v>
      </c>
      <c r="G182" s="23" t="n">
        <v>1</v>
      </c>
      <c r="H182" s="24" t="n">
        <v>1</v>
      </c>
      <c r="I182" s="24" t="n">
        <v>500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5" t="n">
        <v>45071.536481481</v>
      </c>
      <c r="B183" s="26" t="s">
        <v>1089</v>
      </c>
      <c r="C183" s="26" t="s">
        <v>1139</v>
      </c>
      <c r="D183" s="26" t="s">
        <v>1089</v>
      </c>
      <c r="E183" s="26" t="s">
        <v>1089</v>
      </c>
      <c r="F183" s="26" t="s">
        <v>19</v>
      </c>
      <c r="G183" s="27" t="n">
        <v>1</v>
      </c>
      <c r="H183" s="28" t="n">
        <v>-65</v>
      </c>
      <c r="I183" s="28" t="n">
        <v>-65</v>
      </c>
      <c r="J183" s="28" t="n">
        <v>0</v>
      </c>
      <c r="K183" s="28" t="n">
        <v>0</v>
      </c>
      <c r="L183" s="28" t="n">
        <v>0</v>
      </c>
      <c r="M183" s="6" t="s">
        <f>=I183+J183+K183+L183</f>
      </c>
      <c r="N183" s="28"/>
      <c r="O183" s="26"/>
    </row>
    <row collapsed="false" customFormat="false" customHeight="false" hidden="false" ht="12.1" outlineLevel="0" r="184">
      <c r="A184" s="21" t="n">
        <v>45071.748969907</v>
      </c>
      <c r="B184" s="22" t="s">
        <v>1063</v>
      </c>
      <c r="C184" s="22" t="s">
        <v>1140</v>
      </c>
      <c r="D184" s="22" t="s">
        <v>1063</v>
      </c>
      <c r="E184" s="22" t="s">
        <v>1063</v>
      </c>
      <c r="F184" s="22" t="s">
        <v>19</v>
      </c>
      <c r="G184" s="23" t="n">
        <v>1</v>
      </c>
      <c r="H184" s="24" t="n">
        <v>1</v>
      </c>
      <c r="I184" s="24" t="n">
        <v>750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5" t="n">
        <v>45071.748969907</v>
      </c>
      <c r="B185" s="26" t="s">
        <v>1089</v>
      </c>
      <c r="C185" s="26" t="s">
        <v>1141</v>
      </c>
      <c r="D185" s="26" t="s">
        <v>1089</v>
      </c>
      <c r="E185" s="26" t="s">
        <v>1089</v>
      </c>
      <c r="F185" s="26" t="s">
        <v>19</v>
      </c>
      <c r="G185" s="27" t="n">
        <v>1</v>
      </c>
      <c r="H185" s="28" t="n">
        <v>-96</v>
      </c>
      <c r="I185" s="28" t="n">
        <v>-96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8"/>
      <c r="O185" s="26"/>
    </row>
    <row collapsed="false" customFormat="false" customHeight="false" hidden="false" ht="12.1" outlineLevel="0" r="186">
      <c r="A186" s="21" t="n">
        <v>45072.660949074</v>
      </c>
      <c r="B186" s="22" t="s">
        <v>1063</v>
      </c>
      <c r="C186" s="22" t="s">
        <v>1104</v>
      </c>
      <c r="D186" s="22" t="s">
        <v>1063</v>
      </c>
      <c r="E186" s="22" t="s">
        <v>1063</v>
      </c>
      <c r="F186" s="22" t="s">
        <v>19</v>
      </c>
      <c r="G186" s="23" t="n">
        <v>1</v>
      </c>
      <c r="H186" s="24" t="n">
        <v>1</v>
      </c>
      <c r="I186" s="24" t="n">
        <v>108.45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4"/>
      <c r="O186" s="22"/>
    </row>
    <row collapsed="false" customFormat="false" customHeight="false" hidden="false" ht="12.1" outlineLevel="0" r="187">
      <c r="A187" s="21" t="n">
        <v>45072.758622685</v>
      </c>
      <c r="B187" s="22" t="s">
        <v>1063</v>
      </c>
      <c r="C187" s="22" t="s">
        <v>1142</v>
      </c>
      <c r="D187" s="22" t="s">
        <v>1063</v>
      </c>
      <c r="E187" s="22" t="s">
        <v>1063</v>
      </c>
      <c r="F187" s="22" t="s">
        <v>19</v>
      </c>
      <c r="G187" s="23" t="n">
        <v>1</v>
      </c>
      <c r="H187" s="24" t="n">
        <v>1</v>
      </c>
      <c r="I187" s="24" t="n">
        <v>10.83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0" t="n">
        <v>45075.47875</v>
      </c>
      <c r="B188" s="16" t="s">
        <v>84</v>
      </c>
      <c r="C188" s="16" t="s">
        <v>1065</v>
      </c>
      <c r="D188" s="16" t="s">
        <v>912</v>
      </c>
      <c r="E188" s="16" t="s">
        <v>85</v>
      </c>
      <c r="F188" s="16" t="s">
        <v>19</v>
      </c>
      <c r="G188" s="7" t="n">
        <v>1</v>
      </c>
      <c r="H188" s="6" t="n">
        <v>71.161</v>
      </c>
      <c r="I188" s="6" t="n">
        <v>-711.61</v>
      </c>
      <c r="J188" s="6" t="n">
        <v>-19.72</v>
      </c>
      <c r="K188" s="6" t="n">
        <v>-2.13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45075.479548611</v>
      </c>
      <c r="B189" s="16" t="s">
        <v>94</v>
      </c>
      <c r="C189" s="16" t="s">
        <v>1107</v>
      </c>
      <c r="D189" s="16" t="s">
        <v>912</v>
      </c>
      <c r="E189" s="16" t="s">
        <v>85</v>
      </c>
      <c r="F189" s="16" t="s">
        <v>19</v>
      </c>
      <c r="G189" s="7" t="n">
        <v>1</v>
      </c>
      <c r="H189" s="6" t="n">
        <v>72.7</v>
      </c>
      <c r="I189" s="6" t="n">
        <v>-727</v>
      </c>
      <c r="J189" s="6" t="n">
        <v>-33.84</v>
      </c>
      <c r="K189" s="6" t="n">
        <v>-2.18</v>
      </c>
      <c r="L189" s="6" t="n">
        <v>0</v>
      </c>
      <c r="M189" s="6" t="s">
        <f>=I189+J189+K189+L189</f>
      </c>
      <c r="N189" s="6"/>
      <c r="O189" s="16"/>
    </row>
    <row collapsed="false" customFormat="false" customHeight="false" hidden="false" ht="12.1" outlineLevel="0" r="190">
      <c r="A190" s="21" t="n">
        <v>45082.549675926</v>
      </c>
      <c r="B190" s="22" t="s">
        <v>1063</v>
      </c>
      <c r="C190" s="22" t="s">
        <v>1105</v>
      </c>
      <c r="D190" s="22" t="s">
        <v>1063</v>
      </c>
      <c r="E190" s="22" t="s">
        <v>1063</v>
      </c>
      <c r="F190" s="22" t="s">
        <v>19</v>
      </c>
      <c r="G190" s="23" t="n">
        <v>1</v>
      </c>
      <c r="H190" s="24" t="n">
        <v>1</v>
      </c>
      <c r="I190" s="24" t="n">
        <v>24.81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2"/>
    </row>
    <row collapsed="false" customFormat="false" customHeight="false" hidden="false" ht="12.1" outlineLevel="0" r="191">
      <c r="A191" s="21" t="n">
        <v>45082.671898148</v>
      </c>
      <c r="B191" s="22" t="s">
        <v>1056</v>
      </c>
      <c r="C191" s="22" t="s">
        <v>350</v>
      </c>
      <c r="D191" s="22" t="s">
        <v>1056</v>
      </c>
      <c r="E191" s="22" t="s">
        <v>1056</v>
      </c>
      <c r="F191" s="22" t="s">
        <v>19</v>
      </c>
      <c r="G191" s="23" t="n">
        <v>1</v>
      </c>
      <c r="H191" s="24" t="n">
        <v>1</v>
      </c>
      <c r="I191" s="24" t="n">
        <v>6200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2"/>
    </row>
    <row collapsed="false" customFormat="false" customHeight="false" hidden="false" ht="12.1" outlineLevel="0" r="192">
      <c r="A192" s="20" t="n">
        <v>45082.692372685</v>
      </c>
      <c r="B192" s="16" t="s">
        <v>924</v>
      </c>
      <c r="C192" s="16" t="s">
        <v>1143</v>
      </c>
      <c r="D192" s="16" t="s">
        <v>912</v>
      </c>
      <c r="E192" s="16" t="s">
        <v>85</v>
      </c>
      <c r="F192" s="16" t="s">
        <v>19</v>
      </c>
      <c r="G192" s="7" t="n">
        <v>1</v>
      </c>
      <c r="H192" s="6" t="n">
        <v>91.99</v>
      </c>
      <c r="I192" s="6" t="n">
        <v>-919.9</v>
      </c>
      <c r="J192" s="6" t="n">
        <v>-32.48</v>
      </c>
      <c r="K192" s="6" t="n">
        <v>-2.76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45082.694375</v>
      </c>
      <c r="B193" s="16" t="s">
        <v>925</v>
      </c>
      <c r="C193" s="16" t="s">
        <v>1144</v>
      </c>
      <c r="D193" s="16" t="s">
        <v>912</v>
      </c>
      <c r="E193" s="16" t="s">
        <v>85</v>
      </c>
      <c r="F193" s="16" t="s">
        <v>19</v>
      </c>
      <c r="G193" s="7" t="n">
        <v>1</v>
      </c>
      <c r="H193" s="6" t="n">
        <v>100</v>
      </c>
      <c r="I193" s="6" t="n">
        <v>-1000</v>
      </c>
      <c r="J193" s="6" t="n">
        <v>-30.91</v>
      </c>
      <c r="K193" s="6" t="n">
        <v>-3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45082.696134259</v>
      </c>
      <c r="B194" s="16" t="s">
        <v>926</v>
      </c>
      <c r="C194" s="16" t="s">
        <v>1145</v>
      </c>
      <c r="D194" s="16" t="s">
        <v>912</v>
      </c>
      <c r="E194" s="16" t="s">
        <v>85</v>
      </c>
      <c r="F194" s="16" t="s">
        <v>19</v>
      </c>
      <c r="G194" s="7" t="n">
        <v>1</v>
      </c>
      <c r="H194" s="6" t="n">
        <v>93.390322580645</v>
      </c>
      <c r="I194" s="6" t="n">
        <v>-868.53</v>
      </c>
      <c r="J194" s="6" t="n">
        <v>-30.1</v>
      </c>
      <c r="K194" s="6" t="n">
        <v>-2.61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45082.697280093</v>
      </c>
      <c r="B195" s="16" t="s">
        <v>287</v>
      </c>
      <c r="C195" s="16" t="s">
        <v>1146</v>
      </c>
      <c r="D195" s="16" t="s">
        <v>912</v>
      </c>
      <c r="E195" s="16" t="s">
        <v>85</v>
      </c>
      <c r="F195" s="16" t="s">
        <v>19</v>
      </c>
      <c r="G195" s="7" t="n">
        <v>1</v>
      </c>
      <c r="H195" s="6" t="n">
        <v>95.39</v>
      </c>
      <c r="I195" s="6" t="n">
        <v>-953.9</v>
      </c>
      <c r="J195" s="6" t="n">
        <v>-31.46</v>
      </c>
      <c r="K195" s="6" t="n">
        <v>-2.86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0" t="n">
        <v>45082.698252315</v>
      </c>
      <c r="B196" s="16" t="s">
        <v>211</v>
      </c>
      <c r="C196" s="16" t="s">
        <v>1147</v>
      </c>
      <c r="D196" s="16" t="s">
        <v>912</v>
      </c>
      <c r="E196" s="16" t="s">
        <v>85</v>
      </c>
      <c r="F196" s="16" t="s">
        <v>19</v>
      </c>
      <c r="G196" s="7" t="n">
        <v>1</v>
      </c>
      <c r="H196" s="6" t="n">
        <v>102.47</v>
      </c>
      <c r="I196" s="6" t="n">
        <v>-1024.7</v>
      </c>
      <c r="J196" s="6" t="n">
        <v>0</v>
      </c>
      <c r="K196" s="6" t="n">
        <v>-3.07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45082.70130787</v>
      </c>
      <c r="B197" s="16" t="s">
        <v>112</v>
      </c>
      <c r="C197" s="16" t="s">
        <v>1110</v>
      </c>
      <c r="D197" s="16" t="s">
        <v>912</v>
      </c>
      <c r="E197" s="16" t="s">
        <v>85</v>
      </c>
      <c r="F197" s="16" t="s">
        <v>19</v>
      </c>
      <c r="G197" s="7" t="n">
        <v>2</v>
      </c>
      <c r="H197" s="6" t="n">
        <v>75.338</v>
      </c>
      <c r="I197" s="6" t="n">
        <v>-1506.76</v>
      </c>
      <c r="J197" s="6" t="n">
        <v>-42.58</v>
      </c>
      <c r="K197" s="6" t="n">
        <v>-4.52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1" t="n">
        <v>45085.353900463</v>
      </c>
      <c r="B198" s="22" t="s">
        <v>1056</v>
      </c>
      <c r="C198" s="22" t="s">
        <v>350</v>
      </c>
      <c r="D198" s="22" t="s">
        <v>1056</v>
      </c>
      <c r="E198" s="22" t="s">
        <v>1056</v>
      </c>
      <c r="F198" s="22" t="s">
        <v>19</v>
      </c>
      <c r="G198" s="23" t="n">
        <v>1</v>
      </c>
      <c r="H198" s="24" t="n">
        <v>1</v>
      </c>
      <c r="I198" s="24" t="n">
        <v>5000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4"/>
      <c r="O198" s="22"/>
    </row>
    <row collapsed="false" customFormat="false" customHeight="false" hidden="false" ht="12.1" outlineLevel="0" r="199">
      <c r="A199" s="20" t="n">
        <v>45085.443043981</v>
      </c>
      <c r="B199" s="16" t="s">
        <v>53</v>
      </c>
      <c r="C199" s="16" t="s">
        <v>1148</v>
      </c>
      <c r="D199" s="16" t="s">
        <v>912</v>
      </c>
      <c r="E199" s="16" t="s">
        <v>17</v>
      </c>
      <c r="F199" s="16" t="s">
        <v>19</v>
      </c>
      <c r="G199" s="7" t="n">
        <v>100</v>
      </c>
      <c r="H199" s="6" t="n">
        <v>33.32</v>
      </c>
      <c r="I199" s="6" t="n">
        <v>-3332</v>
      </c>
      <c r="J199" s="6" t="n">
        <v>0</v>
      </c>
      <c r="K199" s="6" t="n">
        <v>-10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0" t="n">
        <v>45085.497106481</v>
      </c>
      <c r="B200" s="16" t="s">
        <v>84</v>
      </c>
      <c r="C200" s="16" t="s">
        <v>1065</v>
      </c>
      <c r="D200" s="16" t="s">
        <v>912</v>
      </c>
      <c r="E200" s="16" t="s">
        <v>85</v>
      </c>
      <c r="F200" s="16" t="s">
        <v>19</v>
      </c>
      <c r="G200" s="7" t="n">
        <v>2</v>
      </c>
      <c r="H200" s="6" t="n">
        <v>70.804</v>
      </c>
      <c r="I200" s="6" t="n">
        <v>-1416.08</v>
      </c>
      <c r="J200" s="6" t="n">
        <v>-42.78</v>
      </c>
      <c r="K200" s="6" t="n">
        <v>-4.25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1" t="n">
        <v>45085.750104167</v>
      </c>
      <c r="B201" s="22" t="s">
        <v>1063</v>
      </c>
      <c r="C201" s="22" t="s">
        <v>1149</v>
      </c>
      <c r="D201" s="22" t="s">
        <v>1063</v>
      </c>
      <c r="E201" s="22" t="s">
        <v>1063</v>
      </c>
      <c r="F201" s="22" t="s">
        <v>19</v>
      </c>
      <c r="G201" s="23" t="n">
        <v>1</v>
      </c>
      <c r="H201" s="24" t="n">
        <v>1</v>
      </c>
      <c r="I201" s="24" t="n">
        <v>32.66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4"/>
      <c r="O201" s="22"/>
    </row>
    <row collapsed="false" customFormat="false" customHeight="false" hidden="false" ht="12.1" outlineLevel="0" r="202">
      <c r="A202" s="21" t="n">
        <v>45085.755891204</v>
      </c>
      <c r="B202" s="22" t="s">
        <v>1063</v>
      </c>
      <c r="C202" s="22" t="s">
        <v>1106</v>
      </c>
      <c r="D202" s="22" t="s">
        <v>1063</v>
      </c>
      <c r="E202" s="22" t="s">
        <v>1063</v>
      </c>
      <c r="F202" s="22" t="s">
        <v>19</v>
      </c>
      <c r="G202" s="23" t="n">
        <v>1</v>
      </c>
      <c r="H202" s="24" t="n">
        <v>1</v>
      </c>
      <c r="I202" s="24" t="n">
        <v>19.87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4"/>
      <c r="O202" s="22"/>
    </row>
    <row collapsed="false" customFormat="false" customHeight="false" hidden="false" ht="12.1" outlineLevel="0" r="203">
      <c r="A203" s="21" t="n">
        <v>45086.391006944</v>
      </c>
      <c r="B203" s="22" t="s">
        <v>1063</v>
      </c>
      <c r="C203" s="22" t="s">
        <v>1150</v>
      </c>
      <c r="D203" s="22" t="s">
        <v>1063</v>
      </c>
      <c r="E203" s="22" t="s">
        <v>1063</v>
      </c>
      <c r="F203" s="22" t="s">
        <v>19</v>
      </c>
      <c r="G203" s="23" t="n">
        <v>1</v>
      </c>
      <c r="H203" s="24" t="n">
        <v>1</v>
      </c>
      <c r="I203" s="24" t="n">
        <v>141.6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4"/>
      <c r="O203" s="22"/>
    </row>
    <row collapsed="false" customFormat="false" customHeight="false" hidden="false" ht="12.1" outlineLevel="0" r="204">
      <c r="A204" s="21" t="n">
        <v>45091.364155093</v>
      </c>
      <c r="B204" s="22" t="s">
        <v>1063</v>
      </c>
      <c r="C204" s="22" t="s">
        <v>1151</v>
      </c>
      <c r="D204" s="22" t="s">
        <v>1063</v>
      </c>
      <c r="E204" s="22" t="s">
        <v>1063</v>
      </c>
      <c r="F204" s="22" t="s">
        <v>19</v>
      </c>
      <c r="G204" s="23" t="n">
        <v>1</v>
      </c>
      <c r="H204" s="24" t="n">
        <v>1</v>
      </c>
      <c r="I204" s="24" t="n">
        <v>31.3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4"/>
      <c r="O204" s="22"/>
    </row>
    <row collapsed="false" customFormat="false" customHeight="false" hidden="false" ht="12.1" outlineLevel="0" r="205">
      <c r="A205" s="21" t="n">
        <v>45091.369583333</v>
      </c>
      <c r="B205" s="22" t="s">
        <v>1056</v>
      </c>
      <c r="C205" s="22" t="s">
        <v>350</v>
      </c>
      <c r="D205" s="22" t="s">
        <v>1056</v>
      </c>
      <c r="E205" s="22" t="s">
        <v>1056</v>
      </c>
      <c r="F205" s="22" t="s">
        <v>19</v>
      </c>
      <c r="G205" s="23" t="n">
        <v>1</v>
      </c>
      <c r="H205" s="24" t="n">
        <v>1</v>
      </c>
      <c r="I205" s="24" t="n">
        <v>710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4"/>
      <c r="O205" s="22"/>
    </row>
    <row collapsed="false" customFormat="false" customHeight="false" hidden="false" ht="12.1" outlineLevel="0" r="206">
      <c r="A206" s="20" t="n">
        <v>45091.452094907</v>
      </c>
      <c r="B206" s="16" t="s">
        <v>94</v>
      </c>
      <c r="C206" s="16" t="s">
        <v>1107</v>
      </c>
      <c r="D206" s="16" t="s">
        <v>912</v>
      </c>
      <c r="E206" s="16" t="s">
        <v>85</v>
      </c>
      <c r="F206" s="16" t="s">
        <v>19</v>
      </c>
      <c r="G206" s="7" t="n">
        <v>1</v>
      </c>
      <c r="H206" s="6" t="n">
        <v>72.25</v>
      </c>
      <c r="I206" s="6" t="n">
        <v>-722.5</v>
      </c>
      <c r="J206" s="6" t="n">
        <v>-1.5599999999999</v>
      </c>
      <c r="K206" s="6" t="n">
        <v>-2.17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1" t="n">
        <v>45091.666342593</v>
      </c>
      <c r="B207" s="22" t="s">
        <v>1063</v>
      </c>
      <c r="C207" s="22" t="s">
        <v>1152</v>
      </c>
      <c r="D207" s="22" t="s">
        <v>1063</v>
      </c>
      <c r="E207" s="22" t="s">
        <v>1063</v>
      </c>
      <c r="F207" s="22" t="s">
        <v>19</v>
      </c>
      <c r="G207" s="23" t="n">
        <v>1</v>
      </c>
      <c r="H207" s="24" t="n">
        <v>1</v>
      </c>
      <c r="I207" s="24" t="n">
        <v>113.46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5" t="n">
        <v>45091.666342593</v>
      </c>
      <c r="B208" s="26" t="s">
        <v>1089</v>
      </c>
      <c r="C208" s="26" t="s">
        <v>1153</v>
      </c>
      <c r="D208" s="26" t="s">
        <v>1089</v>
      </c>
      <c r="E208" s="26" t="s">
        <v>1089</v>
      </c>
      <c r="F208" s="26" t="s">
        <v>19</v>
      </c>
      <c r="G208" s="27" t="n">
        <v>1</v>
      </c>
      <c r="H208" s="28" t="n">
        <v>-15</v>
      </c>
      <c r="I208" s="28" t="n">
        <v>-15</v>
      </c>
      <c r="J208" s="28" t="n">
        <v>0</v>
      </c>
      <c r="K208" s="28" t="n">
        <v>0</v>
      </c>
      <c r="L208" s="28" t="n">
        <v>0</v>
      </c>
      <c r="M208" s="6" t="s">
        <f>=I208+J208+K208+L208</f>
      </c>
      <c r="N208" s="28"/>
      <c r="O208" s="26"/>
    </row>
    <row collapsed="false" customFormat="false" customHeight="false" hidden="false" ht="12.1" outlineLevel="0" r="209">
      <c r="A209" s="21" t="n">
        <v>45099.541446759</v>
      </c>
      <c r="B209" s="22" t="s">
        <v>1063</v>
      </c>
      <c r="C209" s="22" t="s">
        <v>1113</v>
      </c>
      <c r="D209" s="22" t="s">
        <v>1063</v>
      </c>
      <c r="E209" s="22" t="s">
        <v>1063</v>
      </c>
      <c r="F209" s="22" t="s">
        <v>19</v>
      </c>
      <c r="G209" s="23" t="n">
        <v>1</v>
      </c>
      <c r="H209" s="24" t="n">
        <v>1</v>
      </c>
      <c r="I209" s="24" t="n">
        <v>142.56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4"/>
      <c r="O209" s="22"/>
    </row>
    <row collapsed="false" customFormat="false" customHeight="false" hidden="false" ht="12.1" outlineLevel="0" r="210">
      <c r="A210" s="21" t="n">
        <v>45104.514351852</v>
      </c>
      <c r="B210" s="22" t="s">
        <v>1056</v>
      </c>
      <c r="C210" s="22" t="s">
        <v>350</v>
      </c>
      <c r="D210" s="22" t="s">
        <v>1056</v>
      </c>
      <c r="E210" s="22" t="s">
        <v>1056</v>
      </c>
      <c r="F210" s="22" t="s">
        <v>19</v>
      </c>
      <c r="G210" s="23" t="n">
        <v>1</v>
      </c>
      <c r="H210" s="24" t="n">
        <v>1</v>
      </c>
      <c r="I210" s="24" t="n">
        <v>6200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45104.601643519</v>
      </c>
      <c r="B211" s="16" t="s">
        <v>84</v>
      </c>
      <c r="C211" s="16" t="s">
        <v>1065</v>
      </c>
      <c r="D211" s="16" t="s">
        <v>912</v>
      </c>
      <c r="E211" s="16" t="s">
        <v>85</v>
      </c>
      <c r="F211" s="16" t="s">
        <v>19</v>
      </c>
      <c r="G211" s="7" t="n">
        <v>2</v>
      </c>
      <c r="H211" s="6" t="n">
        <v>70.021</v>
      </c>
      <c r="I211" s="6" t="n">
        <v>-1400.42</v>
      </c>
      <c r="J211" s="6" t="n">
        <v>-49.14</v>
      </c>
      <c r="K211" s="6" t="n">
        <v>-4.2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45104.604328704</v>
      </c>
      <c r="B212" s="16" t="s">
        <v>927</v>
      </c>
      <c r="C212" s="16" t="s">
        <v>1154</v>
      </c>
      <c r="D212" s="16" t="s">
        <v>912</v>
      </c>
      <c r="E212" s="16" t="s">
        <v>17</v>
      </c>
      <c r="F212" s="16" t="s">
        <v>19</v>
      </c>
      <c r="G212" s="7" t="n">
        <v>10000</v>
      </c>
      <c r="H212" s="6" t="n">
        <v>0.1001</v>
      </c>
      <c r="I212" s="6" t="n">
        <v>-1001</v>
      </c>
      <c r="J212" s="6" t="n">
        <v>0</v>
      </c>
      <c r="K212" s="6" t="n">
        <v>-3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45104.605428241</v>
      </c>
      <c r="B213" s="16" t="s">
        <v>59</v>
      </c>
      <c r="C213" s="16" t="s">
        <v>1121</v>
      </c>
      <c r="D213" s="16" t="s">
        <v>912</v>
      </c>
      <c r="E213" s="16" t="s">
        <v>17</v>
      </c>
      <c r="F213" s="16" t="s">
        <v>19</v>
      </c>
      <c r="G213" s="7" t="n">
        <v>10</v>
      </c>
      <c r="H213" s="6" t="n">
        <v>41.88</v>
      </c>
      <c r="I213" s="6" t="n">
        <v>-418.8</v>
      </c>
      <c r="J213" s="6" t="n">
        <v>0</v>
      </c>
      <c r="K213" s="6" t="n">
        <v>-1.26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45104.606284722</v>
      </c>
      <c r="B214" s="16" t="s">
        <v>94</v>
      </c>
      <c r="C214" s="16" t="s">
        <v>1107</v>
      </c>
      <c r="D214" s="16" t="s">
        <v>912</v>
      </c>
      <c r="E214" s="16" t="s">
        <v>85</v>
      </c>
      <c r="F214" s="16" t="s">
        <v>19</v>
      </c>
      <c r="G214" s="7" t="n">
        <v>2</v>
      </c>
      <c r="H214" s="6" t="n">
        <v>71.298</v>
      </c>
      <c r="I214" s="6" t="n">
        <v>-1425.96</v>
      </c>
      <c r="J214" s="6" t="n">
        <v>-8.1599999999999</v>
      </c>
      <c r="K214" s="6" t="n">
        <v>-4.28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45104.60662037</v>
      </c>
      <c r="B215" s="16" t="s">
        <v>112</v>
      </c>
      <c r="C215" s="16" t="s">
        <v>1110</v>
      </c>
      <c r="D215" s="16" t="s">
        <v>912</v>
      </c>
      <c r="E215" s="16" t="s">
        <v>85</v>
      </c>
      <c r="F215" s="16" t="s">
        <v>19</v>
      </c>
      <c r="G215" s="7" t="n">
        <v>2</v>
      </c>
      <c r="H215" s="6" t="n">
        <v>74.29</v>
      </c>
      <c r="I215" s="6" t="n">
        <v>-1485.8</v>
      </c>
      <c r="J215" s="6" t="n">
        <v>-51</v>
      </c>
      <c r="K215" s="6" t="n">
        <v>-4.46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45104.608148148</v>
      </c>
      <c r="B216" s="16" t="s">
        <v>62</v>
      </c>
      <c r="C216" s="16" t="s">
        <v>1134</v>
      </c>
      <c r="D216" s="16" t="s">
        <v>912</v>
      </c>
      <c r="E216" s="16" t="s">
        <v>17</v>
      </c>
      <c r="F216" s="16" t="s">
        <v>19</v>
      </c>
      <c r="G216" s="7" t="n">
        <v>10</v>
      </c>
      <c r="H216" s="6" t="n">
        <v>72.6</v>
      </c>
      <c r="I216" s="6" t="n">
        <v>-726</v>
      </c>
      <c r="J216" s="6" t="n">
        <v>0</v>
      </c>
      <c r="K216" s="6" t="n">
        <v>-2.18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1" t="n">
        <v>45107.707291667</v>
      </c>
      <c r="B217" s="22" t="s">
        <v>1063</v>
      </c>
      <c r="C217" s="22" t="s">
        <v>1155</v>
      </c>
      <c r="D217" s="22" t="s">
        <v>1063</v>
      </c>
      <c r="E217" s="22" t="s">
        <v>1063</v>
      </c>
      <c r="F217" s="22" t="s">
        <v>19</v>
      </c>
      <c r="G217" s="23" t="n">
        <v>1</v>
      </c>
      <c r="H217" s="24" t="n">
        <v>1</v>
      </c>
      <c r="I217" s="24" t="n">
        <v>48.4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5" t="n">
        <v>45107.707291667</v>
      </c>
      <c r="B218" s="26" t="s">
        <v>1089</v>
      </c>
      <c r="C218" s="26" t="s">
        <v>1156</v>
      </c>
      <c r="D218" s="26" t="s">
        <v>1089</v>
      </c>
      <c r="E218" s="26" t="s">
        <v>1089</v>
      </c>
      <c r="F218" s="26" t="s">
        <v>19</v>
      </c>
      <c r="G218" s="27" t="n">
        <v>1</v>
      </c>
      <c r="H218" s="28" t="n">
        <v>-6</v>
      </c>
      <c r="I218" s="28" t="n">
        <v>-6</v>
      </c>
      <c r="J218" s="28" t="n">
        <v>0</v>
      </c>
      <c r="K218" s="28" t="n">
        <v>0</v>
      </c>
      <c r="L218" s="28" t="n">
        <v>0</v>
      </c>
      <c r="M218" s="6" t="s">
        <f>=I218+J218+K218+L218</f>
      </c>
      <c r="N218" s="28"/>
      <c r="O218" s="26"/>
    </row>
    <row collapsed="false" customFormat="false" customHeight="false" hidden="false" ht="12.1" outlineLevel="0" r="219">
      <c r="A219" s="21" t="n">
        <v>45113.942280093</v>
      </c>
      <c r="B219" s="22" t="s">
        <v>1056</v>
      </c>
      <c r="C219" s="22" t="s">
        <v>350</v>
      </c>
      <c r="D219" s="22" t="s">
        <v>1056</v>
      </c>
      <c r="E219" s="22" t="s">
        <v>1056</v>
      </c>
      <c r="F219" s="22" t="s">
        <v>19</v>
      </c>
      <c r="G219" s="23" t="n">
        <v>1</v>
      </c>
      <c r="H219" s="24" t="n">
        <v>1</v>
      </c>
      <c r="I219" s="24" t="n">
        <v>5000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45114.422372685</v>
      </c>
      <c r="B220" s="22" t="s">
        <v>1063</v>
      </c>
      <c r="C220" s="22" t="s">
        <v>1072</v>
      </c>
      <c r="D220" s="22" t="s">
        <v>1063</v>
      </c>
      <c r="E220" s="22" t="s">
        <v>1063</v>
      </c>
      <c r="F220" s="22" t="s">
        <v>19</v>
      </c>
      <c r="G220" s="23" t="n">
        <v>1</v>
      </c>
      <c r="H220" s="24" t="n">
        <v>1</v>
      </c>
      <c r="I220" s="24" t="n">
        <v>20.94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45114.427546296</v>
      </c>
      <c r="B221" s="22" t="s">
        <v>1073</v>
      </c>
      <c r="C221" s="22" t="s">
        <v>1074</v>
      </c>
      <c r="D221" s="22" t="s">
        <v>1073</v>
      </c>
      <c r="E221" s="22" t="s">
        <v>1073</v>
      </c>
      <c r="F221" s="22" t="s">
        <v>19</v>
      </c>
      <c r="G221" s="23" t="n">
        <v>1</v>
      </c>
      <c r="H221" s="24" t="n">
        <v>1</v>
      </c>
      <c r="I221" s="24" t="n">
        <v>200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0" t="n">
        <v>45114.45244213</v>
      </c>
      <c r="B222" s="16" t="s">
        <v>84</v>
      </c>
      <c r="C222" s="16" t="s">
        <v>1065</v>
      </c>
      <c r="D222" s="16" t="s">
        <v>912</v>
      </c>
      <c r="E222" s="16" t="s">
        <v>85</v>
      </c>
      <c r="F222" s="16" t="s">
        <v>19</v>
      </c>
      <c r="G222" s="7" t="n">
        <v>2</v>
      </c>
      <c r="H222" s="6" t="n">
        <v>69.6</v>
      </c>
      <c r="I222" s="6" t="n">
        <v>-1392</v>
      </c>
      <c r="J222" s="6" t="n">
        <v>-53.16</v>
      </c>
      <c r="K222" s="6" t="n">
        <v>-4.18</v>
      </c>
      <c r="L222" s="6" t="n">
        <v>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45114.452893519</v>
      </c>
      <c r="B223" s="16" t="s">
        <v>139</v>
      </c>
      <c r="C223" s="16" t="s">
        <v>1131</v>
      </c>
      <c r="D223" s="16" t="s">
        <v>912</v>
      </c>
      <c r="E223" s="16" t="s">
        <v>85</v>
      </c>
      <c r="F223" s="16" t="s">
        <v>19</v>
      </c>
      <c r="G223" s="7" t="n">
        <v>2</v>
      </c>
      <c r="H223" s="6" t="n">
        <v>79.117346487169</v>
      </c>
      <c r="I223" s="6" t="n">
        <v>-1966.43</v>
      </c>
      <c r="J223" s="6" t="n">
        <v>-16.38</v>
      </c>
      <c r="K223" s="6" t="n">
        <v>-5.9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45114.45306713</v>
      </c>
      <c r="B224" s="16" t="s">
        <v>157</v>
      </c>
      <c r="C224" s="16" t="s">
        <v>1127</v>
      </c>
      <c r="D224" s="16" t="s">
        <v>912</v>
      </c>
      <c r="E224" s="16" t="s">
        <v>85</v>
      </c>
      <c r="F224" s="16" t="s">
        <v>19</v>
      </c>
      <c r="G224" s="7" t="n">
        <v>1</v>
      </c>
      <c r="H224" s="6" t="n">
        <v>79.525890336253</v>
      </c>
      <c r="I224" s="6" t="n">
        <v>-1152.02</v>
      </c>
      <c r="J224" s="6" t="n">
        <v>-8.4100000000001</v>
      </c>
      <c r="K224" s="6" t="n">
        <v>-3.46</v>
      </c>
      <c r="L224" s="6" t="n">
        <v>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0" t="n">
        <v>45114.45443287</v>
      </c>
      <c r="B225" s="16" t="s">
        <v>923</v>
      </c>
      <c r="C225" s="16" t="s">
        <v>1135</v>
      </c>
      <c r="D225" s="16" t="s">
        <v>912</v>
      </c>
      <c r="E225" s="16" t="s">
        <v>85</v>
      </c>
      <c r="F225" s="16" t="s">
        <v>19</v>
      </c>
      <c r="G225" s="7" t="n">
        <v>1</v>
      </c>
      <c r="H225" s="6" t="n">
        <v>96.95</v>
      </c>
      <c r="I225" s="6" t="n">
        <v>-969.5</v>
      </c>
      <c r="J225" s="6" t="n">
        <v>-17.45</v>
      </c>
      <c r="K225" s="6" t="n">
        <v>-2.91</v>
      </c>
      <c r="L225" s="6" t="n">
        <v>0</v>
      </c>
      <c r="M225" s="6" t="s">
        <f>=I225+J225+K225+L225</f>
      </c>
      <c r="N225" s="6"/>
      <c r="O225" s="16"/>
    </row>
    <row collapsed="false" customFormat="false" customHeight="false" hidden="false" ht="12.1" outlineLevel="0" r="226">
      <c r="A226" s="21" t="n">
        <v>45124.484224537</v>
      </c>
      <c r="B226" s="22" t="s">
        <v>1056</v>
      </c>
      <c r="C226" s="22" t="s">
        <v>350</v>
      </c>
      <c r="D226" s="22" t="s">
        <v>1056</v>
      </c>
      <c r="E226" s="22" t="s">
        <v>1056</v>
      </c>
      <c r="F226" s="22" t="s">
        <v>19</v>
      </c>
      <c r="G226" s="23" t="n">
        <v>1</v>
      </c>
      <c r="H226" s="24" t="n">
        <v>1</v>
      </c>
      <c r="I226" s="24" t="n">
        <v>952.2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0" t="n">
        <v>45124.505358796</v>
      </c>
      <c r="B227" s="16" t="s">
        <v>928</v>
      </c>
      <c r="C227" s="16" t="s">
        <v>1157</v>
      </c>
      <c r="D227" s="16" t="s">
        <v>912</v>
      </c>
      <c r="E227" s="16" t="s">
        <v>17</v>
      </c>
      <c r="F227" s="16" t="s">
        <v>19</v>
      </c>
      <c r="G227" s="7" t="n">
        <v>100</v>
      </c>
      <c r="H227" s="6" t="n">
        <v>6.168</v>
      </c>
      <c r="I227" s="6" t="n">
        <v>-616.8</v>
      </c>
      <c r="J227" s="6" t="n">
        <v>0</v>
      </c>
      <c r="K227" s="6" t="n">
        <v>-1.85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1" t="n">
        <v>45133.585532407</v>
      </c>
      <c r="B228" s="22" t="s">
        <v>1063</v>
      </c>
      <c r="C228" s="22" t="s">
        <v>1158</v>
      </c>
      <c r="D228" s="22" t="s">
        <v>1063</v>
      </c>
      <c r="E228" s="22" t="s">
        <v>1063</v>
      </c>
      <c r="F228" s="22" t="s">
        <v>19</v>
      </c>
      <c r="G228" s="23" t="n">
        <v>1</v>
      </c>
      <c r="H228" s="24" t="n">
        <v>1</v>
      </c>
      <c r="I228" s="24" t="n">
        <v>50.26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4"/>
      <c r="O228" s="22"/>
    </row>
    <row collapsed="false" customFormat="false" customHeight="false" hidden="false" ht="12.1" outlineLevel="0" r="229">
      <c r="A229" s="25" t="n">
        <v>45133.585532407</v>
      </c>
      <c r="B229" s="26" t="s">
        <v>1089</v>
      </c>
      <c r="C229" s="26" t="s">
        <v>1159</v>
      </c>
      <c r="D229" s="26" t="s">
        <v>1089</v>
      </c>
      <c r="E229" s="26" t="s">
        <v>1089</v>
      </c>
      <c r="F229" s="26" t="s">
        <v>19</v>
      </c>
      <c r="G229" s="27" t="n">
        <v>1</v>
      </c>
      <c r="H229" s="28" t="n">
        <v>-7</v>
      </c>
      <c r="I229" s="28" t="n">
        <v>-7</v>
      </c>
      <c r="J229" s="28" t="n">
        <v>0</v>
      </c>
      <c r="K229" s="28" t="n">
        <v>0</v>
      </c>
      <c r="L229" s="28" t="n">
        <v>0</v>
      </c>
      <c r="M229" s="6" t="s">
        <f>=I229+J229+K229+L229</f>
      </c>
      <c r="N229" s="28"/>
      <c r="O229" s="26"/>
    </row>
    <row collapsed="false" customFormat="false" customHeight="false" hidden="false" ht="12.1" outlineLevel="0" r="230">
      <c r="A230" s="21" t="n">
        <v>45134.634351852</v>
      </c>
      <c r="B230" s="22" t="s">
        <v>1063</v>
      </c>
      <c r="C230" s="22" t="s">
        <v>1095</v>
      </c>
      <c r="D230" s="22" t="s">
        <v>1063</v>
      </c>
      <c r="E230" s="22" t="s">
        <v>1063</v>
      </c>
      <c r="F230" s="22" t="s">
        <v>19</v>
      </c>
      <c r="G230" s="23" t="n">
        <v>1</v>
      </c>
      <c r="H230" s="24" t="n">
        <v>1</v>
      </c>
      <c r="I230" s="24" t="n">
        <v>27.71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5" t="n">
        <v>45134.634351852</v>
      </c>
      <c r="B231" s="26" t="s">
        <v>1089</v>
      </c>
      <c r="C231" s="26" t="s">
        <v>1094</v>
      </c>
      <c r="D231" s="26" t="s">
        <v>1089</v>
      </c>
      <c r="E231" s="26" t="s">
        <v>1089</v>
      </c>
      <c r="F231" s="26" t="s">
        <v>19</v>
      </c>
      <c r="G231" s="27" t="n">
        <v>1</v>
      </c>
      <c r="H231" s="28" t="n">
        <v>-3</v>
      </c>
      <c r="I231" s="28" t="n">
        <v>-3</v>
      </c>
      <c r="J231" s="28" t="n">
        <v>0</v>
      </c>
      <c r="K231" s="28" t="n">
        <v>0</v>
      </c>
      <c r="L231" s="28" t="n">
        <v>0</v>
      </c>
      <c r="M231" s="6" t="s">
        <f>=I231+J231+K231+L231</f>
      </c>
      <c r="N231" s="28"/>
      <c r="O231" s="26"/>
    </row>
    <row collapsed="false" customFormat="false" customHeight="false" hidden="false" ht="12.1" outlineLevel="0" r="232">
      <c r="A232" s="21" t="n">
        <v>45135.731770833</v>
      </c>
      <c r="B232" s="22" t="s">
        <v>1063</v>
      </c>
      <c r="C232" s="22" t="s">
        <v>1160</v>
      </c>
      <c r="D232" s="22" t="s">
        <v>1063</v>
      </c>
      <c r="E232" s="22" t="s">
        <v>1063</v>
      </c>
      <c r="F232" s="22" t="s">
        <v>19</v>
      </c>
      <c r="G232" s="23" t="n">
        <v>1</v>
      </c>
      <c r="H232" s="24" t="n">
        <v>1</v>
      </c>
      <c r="I232" s="24" t="n">
        <v>43.38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4"/>
      <c r="O232" s="22"/>
    </row>
    <row collapsed="false" customFormat="false" customHeight="false" hidden="false" ht="12.1" outlineLevel="0" r="233">
      <c r="A233" s="21" t="n">
        <v>45135.755277778</v>
      </c>
      <c r="B233" s="22" t="s">
        <v>1063</v>
      </c>
      <c r="C233" s="22" t="s">
        <v>1080</v>
      </c>
      <c r="D233" s="22" t="s">
        <v>1063</v>
      </c>
      <c r="E233" s="22" t="s">
        <v>1063</v>
      </c>
      <c r="F233" s="22" t="s">
        <v>19</v>
      </c>
      <c r="G233" s="23" t="n">
        <v>1</v>
      </c>
      <c r="H233" s="24" t="n">
        <v>1</v>
      </c>
      <c r="I233" s="24" t="n">
        <v>18.18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4"/>
      <c r="O233" s="22"/>
    </row>
    <row collapsed="false" customFormat="false" customHeight="false" hidden="false" ht="12.1" outlineLevel="0" r="234">
      <c r="A234" s="21" t="n">
        <v>45141.766342593</v>
      </c>
      <c r="B234" s="22" t="s">
        <v>1063</v>
      </c>
      <c r="C234" s="22" t="s">
        <v>1161</v>
      </c>
      <c r="D234" s="22" t="s">
        <v>1063</v>
      </c>
      <c r="E234" s="22" t="s">
        <v>1063</v>
      </c>
      <c r="F234" s="22" t="s">
        <v>19</v>
      </c>
      <c r="G234" s="23" t="n">
        <v>1</v>
      </c>
      <c r="H234" s="24" t="n">
        <v>1</v>
      </c>
      <c r="I234" s="24" t="n">
        <v>41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4"/>
      <c r="O234" s="22"/>
    </row>
    <row collapsed="false" customFormat="false" customHeight="false" hidden="false" ht="12.1" outlineLevel="0" r="235">
      <c r="A235" s="25" t="n">
        <v>45141.766342593</v>
      </c>
      <c r="B235" s="26" t="s">
        <v>1089</v>
      </c>
      <c r="C235" s="26" t="s">
        <v>1162</v>
      </c>
      <c r="D235" s="26" t="s">
        <v>1089</v>
      </c>
      <c r="E235" s="26" t="s">
        <v>1089</v>
      </c>
      <c r="F235" s="26" t="s">
        <v>19</v>
      </c>
      <c r="G235" s="27" t="n">
        <v>1</v>
      </c>
      <c r="H235" s="28" t="n">
        <v>-1</v>
      </c>
      <c r="I235" s="28" t="n">
        <v>-1</v>
      </c>
      <c r="J235" s="28" t="n">
        <v>0</v>
      </c>
      <c r="K235" s="28" t="n">
        <v>0</v>
      </c>
      <c r="L235" s="28" t="n">
        <v>0</v>
      </c>
      <c r="M235" s="6" t="s">
        <f>=I235+J235+K235+L235</f>
      </c>
      <c r="N235" s="28"/>
      <c r="O235" s="26"/>
    </row>
    <row collapsed="false" customFormat="false" customHeight="false" hidden="false" ht="12.1" outlineLevel="0" r="236">
      <c r="A236" s="21" t="n">
        <v>45142.377569444</v>
      </c>
      <c r="B236" s="22" t="s">
        <v>1063</v>
      </c>
      <c r="C236" s="22" t="s">
        <v>1117</v>
      </c>
      <c r="D236" s="22" t="s">
        <v>1063</v>
      </c>
      <c r="E236" s="22" t="s">
        <v>1063</v>
      </c>
      <c r="F236" s="22" t="s">
        <v>19</v>
      </c>
      <c r="G236" s="23" t="n">
        <v>1</v>
      </c>
      <c r="H236" s="24" t="n">
        <v>1</v>
      </c>
      <c r="I236" s="24" t="n">
        <v>28.22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4"/>
      <c r="O236" s="22"/>
    </row>
    <row collapsed="false" customFormat="false" customHeight="false" hidden="false" ht="12.1" outlineLevel="0" r="237">
      <c r="A237" s="21" t="n">
        <v>45142.502164352</v>
      </c>
      <c r="B237" s="22" t="s">
        <v>1063</v>
      </c>
      <c r="C237" s="22" t="s">
        <v>1118</v>
      </c>
      <c r="D237" s="22" t="s">
        <v>1063</v>
      </c>
      <c r="E237" s="22" t="s">
        <v>1063</v>
      </c>
      <c r="F237" s="22" t="s">
        <v>19</v>
      </c>
      <c r="G237" s="23" t="n">
        <v>1</v>
      </c>
      <c r="H237" s="24" t="n">
        <v>1</v>
      </c>
      <c r="I237" s="24" t="n">
        <v>43.53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1" t="n">
        <v>45142.532604167</v>
      </c>
      <c r="B238" s="22" t="s">
        <v>1063</v>
      </c>
      <c r="C238" s="22" t="s">
        <v>1163</v>
      </c>
      <c r="D238" s="22" t="s">
        <v>1063</v>
      </c>
      <c r="E238" s="22" t="s">
        <v>1063</v>
      </c>
      <c r="F238" s="22" t="s">
        <v>19</v>
      </c>
      <c r="G238" s="23" t="n">
        <v>1</v>
      </c>
      <c r="H238" s="24" t="n">
        <v>1</v>
      </c>
      <c r="I238" s="24" t="n">
        <v>80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4"/>
      <c r="O238" s="22"/>
    </row>
    <row collapsed="false" customFormat="false" customHeight="false" hidden="false" ht="12.1" outlineLevel="0" r="239">
      <c r="A239" s="25" t="n">
        <v>45142.532604167</v>
      </c>
      <c r="B239" s="26" t="s">
        <v>1089</v>
      </c>
      <c r="C239" s="26" t="s">
        <v>1164</v>
      </c>
      <c r="D239" s="26" t="s">
        <v>1089</v>
      </c>
      <c r="E239" s="26" t="s">
        <v>1089</v>
      </c>
      <c r="F239" s="26" t="s">
        <v>19</v>
      </c>
      <c r="G239" s="27" t="n">
        <v>1</v>
      </c>
      <c r="H239" s="28" t="n">
        <v>-11</v>
      </c>
      <c r="I239" s="28" t="n">
        <v>-11</v>
      </c>
      <c r="J239" s="28" t="n">
        <v>0</v>
      </c>
      <c r="K239" s="28" t="n">
        <v>0</v>
      </c>
      <c r="L239" s="28" t="n">
        <v>0</v>
      </c>
      <c r="M239" s="6" t="s">
        <f>=I239+J239+K239+L239</f>
      </c>
      <c r="N239" s="28"/>
      <c r="O239" s="26"/>
    </row>
    <row collapsed="false" customFormat="false" customHeight="false" hidden="false" ht="12.1" outlineLevel="0" r="240">
      <c r="A240" s="21" t="n">
        <v>45142.57212963</v>
      </c>
      <c r="B240" s="22" t="s">
        <v>1063</v>
      </c>
      <c r="C240" s="22" t="s">
        <v>1081</v>
      </c>
      <c r="D240" s="22" t="s">
        <v>1063</v>
      </c>
      <c r="E240" s="22" t="s">
        <v>1063</v>
      </c>
      <c r="F240" s="22" t="s">
        <v>19</v>
      </c>
      <c r="G240" s="23" t="n">
        <v>1</v>
      </c>
      <c r="H240" s="24" t="n">
        <v>1</v>
      </c>
      <c r="I240" s="24" t="n">
        <v>304.2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4"/>
      <c r="O240" s="22"/>
    </row>
    <row collapsed="false" customFormat="false" customHeight="false" hidden="false" ht="12.1" outlineLevel="0" r="241">
      <c r="A241" s="21" t="n">
        <v>45142.611886574</v>
      </c>
      <c r="B241" s="22" t="s">
        <v>1063</v>
      </c>
      <c r="C241" s="22" t="s">
        <v>1165</v>
      </c>
      <c r="D241" s="22" t="s">
        <v>1063</v>
      </c>
      <c r="E241" s="22" t="s">
        <v>1063</v>
      </c>
      <c r="F241" s="22" t="s">
        <v>19</v>
      </c>
      <c r="G241" s="23" t="n">
        <v>1</v>
      </c>
      <c r="H241" s="24" t="n">
        <v>1</v>
      </c>
      <c r="I241" s="24" t="n">
        <v>80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4"/>
      <c r="O241" s="22"/>
    </row>
    <row collapsed="false" customFormat="false" customHeight="false" hidden="false" ht="12.1" outlineLevel="0" r="242">
      <c r="A242" s="25" t="n">
        <v>45142.611886574</v>
      </c>
      <c r="B242" s="26" t="s">
        <v>1089</v>
      </c>
      <c r="C242" s="26" t="s">
        <v>1166</v>
      </c>
      <c r="D242" s="26" t="s">
        <v>1089</v>
      </c>
      <c r="E242" s="26" t="s">
        <v>1089</v>
      </c>
      <c r="F242" s="26" t="s">
        <v>19</v>
      </c>
      <c r="G242" s="27" t="n">
        <v>1</v>
      </c>
      <c r="H242" s="28" t="n">
        <v>-10</v>
      </c>
      <c r="I242" s="28" t="n">
        <v>-10</v>
      </c>
      <c r="J242" s="28" t="n">
        <v>0</v>
      </c>
      <c r="K242" s="28" t="n">
        <v>0</v>
      </c>
      <c r="L242" s="28" t="n">
        <v>0</v>
      </c>
      <c r="M242" s="6" t="s">
        <f>=I242+J242+K242+L242</f>
      </c>
      <c r="N242" s="28"/>
      <c r="O242" s="26"/>
    </row>
    <row collapsed="false" customFormat="false" customHeight="false" hidden="false" ht="12.1" outlineLevel="0" r="243">
      <c r="A243" s="20" t="n">
        <v>45146.503483796</v>
      </c>
      <c r="B243" s="16" t="s">
        <v>139</v>
      </c>
      <c r="C243" s="16" t="s">
        <v>1131</v>
      </c>
      <c r="D243" s="16" t="s">
        <v>912</v>
      </c>
      <c r="E243" s="16" t="s">
        <v>85</v>
      </c>
      <c r="F243" s="16" t="s">
        <v>19</v>
      </c>
      <c r="G243" s="7" t="n">
        <v>1</v>
      </c>
      <c r="H243" s="6" t="n">
        <v>78.978539183894</v>
      </c>
      <c r="I243" s="6" t="n">
        <v>-981.49</v>
      </c>
      <c r="J243" s="6" t="n">
        <v>-10.33</v>
      </c>
      <c r="K243" s="6" t="n">
        <v>-2.94</v>
      </c>
      <c r="L243" s="6" t="n">
        <v>0</v>
      </c>
      <c r="M243" s="6" t="s">
        <f>=I243+J243+K243+L243</f>
      </c>
      <c r="N243" s="6"/>
      <c r="O243" s="16"/>
    </row>
    <row collapsed="false" customFormat="false" customHeight="false" hidden="false" ht="12.1" outlineLevel="0" r="244">
      <c r="A244" s="21" t="n">
        <v>45146.938344907</v>
      </c>
      <c r="B244" s="22" t="s">
        <v>1056</v>
      </c>
      <c r="C244" s="22" t="s">
        <v>350</v>
      </c>
      <c r="D244" s="22" t="s">
        <v>1056</v>
      </c>
      <c r="E244" s="22" t="s">
        <v>1056</v>
      </c>
      <c r="F244" s="22" t="s">
        <v>19</v>
      </c>
      <c r="G244" s="23" t="n">
        <v>1</v>
      </c>
      <c r="H244" s="24" t="n">
        <v>1</v>
      </c>
      <c r="I244" s="24" t="n">
        <v>11000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4"/>
      <c r="O244" s="22"/>
    </row>
    <row collapsed="false" customFormat="false" customHeight="false" hidden="false" ht="12.1" outlineLevel="0" r="245">
      <c r="A245" s="21" t="n">
        <v>45147.463553241</v>
      </c>
      <c r="B245" s="22" t="s">
        <v>1063</v>
      </c>
      <c r="C245" s="22" t="s">
        <v>1119</v>
      </c>
      <c r="D245" s="22" t="s">
        <v>1063</v>
      </c>
      <c r="E245" s="22" t="s">
        <v>1063</v>
      </c>
      <c r="F245" s="22" t="s">
        <v>19</v>
      </c>
      <c r="G245" s="23" t="n">
        <v>1</v>
      </c>
      <c r="H245" s="24" t="n">
        <v>1</v>
      </c>
      <c r="I245" s="24" t="n">
        <v>53.1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4"/>
      <c r="O245" s="22"/>
    </row>
    <row collapsed="false" customFormat="false" customHeight="false" hidden="false" ht="12.1" outlineLevel="0" r="246">
      <c r="A246" s="20" t="n">
        <v>45147.53005787</v>
      </c>
      <c r="B246" s="16" t="s">
        <v>103</v>
      </c>
      <c r="C246" s="16" t="s">
        <v>1061</v>
      </c>
      <c r="D246" s="16" t="s">
        <v>912</v>
      </c>
      <c r="E246" s="16" t="s">
        <v>85</v>
      </c>
      <c r="F246" s="16" t="s">
        <v>19</v>
      </c>
      <c r="G246" s="7" t="n">
        <v>2</v>
      </c>
      <c r="H246" s="6" t="n">
        <v>75.919</v>
      </c>
      <c r="I246" s="6" t="n">
        <v>-1518.38</v>
      </c>
      <c r="J246" s="6" t="n">
        <v>-45.58</v>
      </c>
      <c r="K246" s="6" t="n">
        <v>-4.56</v>
      </c>
      <c r="L246" s="6" t="n">
        <v>0</v>
      </c>
      <c r="M246" s="6" t="s">
        <f>=I246+J246+K246+L246</f>
      </c>
      <c r="N246" s="6"/>
      <c r="O246" s="16"/>
    </row>
    <row collapsed="false" customFormat="false" customHeight="false" hidden="false" ht="12.1" outlineLevel="0" r="247">
      <c r="A247" s="20" t="n">
        <v>45147.530451389</v>
      </c>
      <c r="B247" s="16" t="s">
        <v>84</v>
      </c>
      <c r="C247" s="16" t="s">
        <v>1065</v>
      </c>
      <c r="D247" s="16" t="s">
        <v>912</v>
      </c>
      <c r="E247" s="16" t="s">
        <v>85</v>
      </c>
      <c r="F247" s="16" t="s">
        <v>19</v>
      </c>
      <c r="G247" s="7" t="n">
        <v>2</v>
      </c>
      <c r="H247" s="6" t="n">
        <v>68.719</v>
      </c>
      <c r="I247" s="6" t="n">
        <v>-1374.38</v>
      </c>
      <c r="J247" s="6" t="n">
        <v>-2.6799999999998</v>
      </c>
      <c r="K247" s="6" t="n">
        <v>-4.12</v>
      </c>
      <c r="L247" s="6" t="n">
        <v>0</v>
      </c>
      <c r="M247" s="6" t="s">
        <f>=I247+J247+K247+L247</f>
      </c>
      <c r="N247" s="6"/>
      <c r="O247" s="16"/>
    </row>
    <row collapsed="false" customFormat="false" customHeight="false" hidden="false" ht="12.1" outlineLevel="0" r="248">
      <c r="A248" s="20" t="n">
        <v>45147.533842593</v>
      </c>
      <c r="B248" s="16" t="s">
        <v>91</v>
      </c>
      <c r="C248" s="16" t="s">
        <v>1167</v>
      </c>
      <c r="D248" s="16" t="s">
        <v>912</v>
      </c>
      <c r="E248" s="16" t="s">
        <v>85</v>
      </c>
      <c r="F248" s="16" t="s">
        <v>19</v>
      </c>
      <c r="G248" s="7" t="n">
        <v>3</v>
      </c>
      <c r="H248" s="6" t="n">
        <v>92.301</v>
      </c>
      <c r="I248" s="6" t="n">
        <v>-2769.03</v>
      </c>
      <c r="J248" s="6" t="n">
        <v>-40.29</v>
      </c>
      <c r="K248" s="6" t="n">
        <v>-8.31</v>
      </c>
      <c r="L248" s="6" t="n">
        <v>0</v>
      </c>
      <c r="M248" s="6" t="s">
        <f>=I248+J248+K248+L248</f>
      </c>
      <c r="N248" s="6"/>
      <c r="O248" s="16"/>
    </row>
    <row collapsed="false" customFormat="false" customHeight="false" hidden="false" ht="12.1" outlineLevel="0" r="249">
      <c r="A249" s="20" t="n">
        <v>45147.534236111</v>
      </c>
      <c r="B249" s="16" t="s">
        <v>272</v>
      </c>
      <c r="C249" s="16" t="s">
        <v>1168</v>
      </c>
      <c r="D249" s="16" t="s">
        <v>912</v>
      </c>
      <c r="E249" s="16" t="s">
        <v>85</v>
      </c>
      <c r="F249" s="16" t="s">
        <v>19</v>
      </c>
      <c r="G249" s="7" t="n">
        <v>1</v>
      </c>
      <c r="H249" s="6" t="n">
        <v>100.63</v>
      </c>
      <c r="I249" s="6" t="n">
        <v>-1006.3</v>
      </c>
      <c r="J249" s="6" t="n">
        <v>-4.0300000000001</v>
      </c>
      <c r="K249" s="6" t="n">
        <v>-3.02</v>
      </c>
      <c r="L249" s="6" t="n">
        <v>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0" t="n">
        <v>45147.534618056</v>
      </c>
      <c r="B250" s="16" t="s">
        <v>929</v>
      </c>
      <c r="C250" s="16" t="s">
        <v>1169</v>
      </c>
      <c r="D250" s="16" t="s">
        <v>912</v>
      </c>
      <c r="E250" s="16" t="s">
        <v>85</v>
      </c>
      <c r="F250" s="16" t="s">
        <v>19</v>
      </c>
      <c r="G250" s="7" t="n">
        <v>1</v>
      </c>
      <c r="H250" s="6" t="n">
        <v>97.9</v>
      </c>
      <c r="I250" s="6" t="n">
        <v>-979</v>
      </c>
      <c r="J250" s="6" t="n">
        <v>-3.37</v>
      </c>
      <c r="K250" s="6" t="n">
        <v>-2.94</v>
      </c>
      <c r="L250" s="6" t="n">
        <v>0</v>
      </c>
      <c r="M250" s="6" t="s">
        <f>=I250+J250+K250+L250</f>
      </c>
      <c r="N250" s="6"/>
      <c r="O250" s="16"/>
    </row>
    <row collapsed="false" customFormat="false" customHeight="false" hidden="false" ht="12.1" outlineLevel="0" r="251">
      <c r="A251" s="20" t="n">
        <v>45147.535266204</v>
      </c>
      <c r="B251" s="16" t="s">
        <v>199</v>
      </c>
      <c r="C251" s="16" t="s">
        <v>1170</v>
      </c>
      <c r="D251" s="16" t="s">
        <v>912</v>
      </c>
      <c r="E251" s="16" t="s">
        <v>85</v>
      </c>
      <c r="F251" s="16" t="s">
        <v>19</v>
      </c>
      <c r="G251" s="7" t="n">
        <v>2</v>
      </c>
      <c r="H251" s="6" t="n">
        <v>100.74</v>
      </c>
      <c r="I251" s="6" t="n">
        <v>-2014.8</v>
      </c>
      <c r="J251" s="6" t="n">
        <v>-10.16</v>
      </c>
      <c r="K251" s="6" t="n">
        <v>-6.04</v>
      </c>
      <c r="L251" s="6" t="n">
        <v>0</v>
      </c>
      <c r="M251" s="6" t="s">
        <f>=I251+J251+K251+L251</f>
      </c>
      <c r="N251" s="6"/>
      <c r="O251" s="16"/>
    </row>
    <row collapsed="false" customFormat="false" customHeight="false" hidden="false" ht="12.1" outlineLevel="0" r="252">
      <c r="A252" s="20" t="n">
        <v>45147.535428241</v>
      </c>
      <c r="B252" s="16" t="s">
        <v>930</v>
      </c>
      <c r="C252" s="16" t="s">
        <v>1171</v>
      </c>
      <c r="D252" s="16" t="s">
        <v>912</v>
      </c>
      <c r="E252" s="16" t="s">
        <v>85</v>
      </c>
      <c r="F252" s="16" t="s">
        <v>19</v>
      </c>
      <c r="G252" s="7" t="n">
        <v>1</v>
      </c>
      <c r="H252" s="6" t="n">
        <v>98.8</v>
      </c>
      <c r="I252" s="6" t="n">
        <v>-815.1</v>
      </c>
      <c r="J252" s="6" t="n">
        <v>-10.44</v>
      </c>
      <c r="K252" s="6" t="n">
        <v>-2.45</v>
      </c>
      <c r="L252" s="6" t="n">
        <v>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1" t="n">
        <v>45152.882280093</v>
      </c>
      <c r="B253" s="22" t="s">
        <v>1056</v>
      </c>
      <c r="C253" s="22" t="s">
        <v>350</v>
      </c>
      <c r="D253" s="22" t="s">
        <v>1056</v>
      </c>
      <c r="E253" s="22" t="s">
        <v>1056</v>
      </c>
      <c r="F253" s="22" t="s">
        <v>19</v>
      </c>
      <c r="G253" s="23" t="n">
        <v>1</v>
      </c>
      <c r="H253" s="24" t="n">
        <v>1</v>
      </c>
      <c r="I253" s="24" t="n">
        <v>1285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4"/>
      <c r="O253" s="22"/>
    </row>
    <row collapsed="false" customFormat="false" customHeight="false" hidden="false" ht="12.1" outlineLevel="0" r="254">
      <c r="A254" s="21" t="n">
        <v>45155.555381944</v>
      </c>
      <c r="B254" s="22" t="s">
        <v>1063</v>
      </c>
      <c r="C254" s="22" t="s">
        <v>1120</v>
      </c>
      <c r="D254" s="22" t="s">
        <v>1063</v>
      </c>
      <c r="E254" s="22" t="s">
        <v>1063</v>
      </c>
      <c r="F254" s="22" t="s">
        <v>19</v>
      </c>
      <c r="G254" s="23" t="n">
        <v>1</v>
      </c>
      <c r="H254" s="24" t="n">
        <v>1</v>
      </c>
      <c r="I254" s="24" t="n">
        <v>244.3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4"/>
      <c r="O254" s="22"/>
    </row>
    <row collapsed="false" customFormat="false" customHeight="false" hidden="false" ht="12.1" outlineLevel="0" r="255">
      <c r="A255" s="20" t="n">
        <v>45155.671990741</v>
      </c>
      <c r="B255" s="16" t="s">
        <v>931</v>
      </c>
      <c r="C255" s="16" t="s">
        <v>1172</v>
      </c>
      <c r="D255" s="16" t="s">
        <v>912</v>
      </c>
      <c r="E255" s="16" t="s">
        <v>85</v>
      </c>
      <c r="F255" s="16" t="s">
        <v>19</v>
      </c>
      <c r="G255" s="7" t="n">
        <v>2</v>
      </c>
      <c r="H255" s="6" t="n">
        <v>90.15</v>
      </c>
      <c r="I255" s="6" t="n">
        <v>-1803</v>
      </c>
      <c r="J255" s="6" t="n">
        <v>-7.4000000000001</v>
      </c>
      <c r="K255" s="6" t="n">
        <v>-5.41</v>
      </c>
      <c r="L255" s="6" t="n">
        <v>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1" t="n">
        <v>45159.396516204</v>
      </c>
      <c r="B256" s="22" t="s">
        <v>1063</v>
      </c>
      <c r="C256" s="22" t="s">
        <v>1173</v>
      </c>
      <c r="D256" s="22" t="s">
        <v>1063</v>
      </c>
      <c r="E256" s="22" t="s">
        <v>1063</v>
      </c>
      <c r="F256" s="22" t="s">
        <v>19</v>
      </c>
      <c r="G256" s="23" t="n">
        <v>1</v>
      </c>
      <c r="H256" s="24" t="n">
        <v>1</v>
      </c>
      <c r="I256" s="24" t="n">
        <v>51.61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4"/>
      <c r="O256" s="22"/>
    </row>
    <row collapsed="false" customFormat="false" customHeight="false" hidden="false" ht="12.1" outlineLevel="0" r="257">
      <c r="A257" s="21" t="n">
        <v>45160.712881944</v>
      </c>
      <c r="B257" s="22" t="s">
        <v>1063</v>
      </c>
      <c r="C257" s="22" t="s">
        <v>1137</v>
      </c>
      <c r="D257" s="22" t="s">
        <v>1063</v>
      </c>
      <c r="E257" s="22" t="s">
        <v>1063</v>
      </c>
      <c r="F257" s="22" t="s">
        <v>19</v>
      </c>
      <c r="G257" s="23" t="n">
        <v>1</v>
      </c>
      <c r="H257" s="24" t="n">
        <v>1</v>
      </c>
      <c r="I257" s="24" t="n">
        <v>64.82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1" t="n">
        <v>45160.721944444</v>
      </c>
      <c r="B258" s="22" t="s">
        <v>1063</v>
      </c>
      <c r="C258" s="22" t="s">
        <v>1174</v>
      </c>
      <c r="D258" s="22" t="s">
        <v>1063</v>
      </c>
      <c r="E258" s="22" t="s">
        <v>1063</v>
      </c>
      <c r="F258" s="22" t="s">
        <v>19</v>
      </c>
      <c r="G258" s="23" t="n">
        <v>1</v>
      </c>
      <c r="H258" s="24" t="n">
        <v>1</v>
      </c>
      <c r="I258" s="24" t="n">
        <v>15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4"/>
      <c r="O258" s="22"/>
    </row>
    <row collapsed="false" customFormat="false" customHeight="false" hidden="false" ht="12.1" outlineLevel="0" r="259">
      <c r="A259" s="21" t="n">
        <v>45162.687893519</v>
      </c>
      <c r="B259" s="22" t="s">
        <v>1063</v>
      </c>
      <c r="C259" s="22" t="s">
        <v>1064</v>
      </c>
      <c r="D259" s="22" t="s">
        <v>1063</v>
      </c>
      <c r="E259" s="22" t="s">
        <v>1063</v>
      </c>
      <c r="F259" s="22" t="s">
        <v>19</v>
      </c>
      <c r="G259" s="23" t="n">
        <v>1</v>
      </c>
      <c r="H259" s="24" t="n">
        <v>1</v>
      </c>
      <c r="I259" s="24" t="n">
        <v>10.72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2"/>
    </row>
    <row collapsed="false" customFormat="false" customHeight="false" hidden="false" ht="12.1" outlineLevel="0" r="260">
      <c r="A260" s="21" t="n">
        <v>45163.491655093</v>
      </c>
      <c r="B260" s="22" t="s">
        <v>1063</v>
      </c>
      <c r="C260" s="22" t="s">
        <v>1142</v>
      </c>
      <c r="D260" s="22" t="s">
        <v>1063</v>
      </c>
      <c r="E260" s="22" t="s">
        <v>1063</v>
      </c>
      <c r="F260" s="22" t="s">
        <v>19</v>
      </c>
      <c r="G260" s="23" t="n">
        <v>1</v>
      </c>
      <c r="H260" s="24" t="n">
        <v>1</v>
      </c>
      <c r="I260" s="24" t="n">
        <v>10.83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4"/>
      <c r="O260" s="22"/>
    </row>
    <row collapsed="false" customFormat="false" customHeight="false" hidden="false" ht="12.1" outlineLevel="0" r="261">
      <c r="A261" s="21" t="n">
        <v>45173.602847222</v>
      </c>
      <c r="B261" s="22" t="s">
        <v>1063</v>
      </c>
      <c r="C261" s="22" t="s">
        <v>1105</v>
      </c>
      <c r="D261" s="22" t="s">
        <v>1063</v>
      </c>
      <c r="E261" s="22" t="s">
        <v>1063</v>
      </c>
      <c r="F261" s="22" t="s">
        <v>19</v>
      </c>
      <c r="G261" s="23" t="n">
        <v>1</v>
      </c>
      <c r="H261" s="24" t="n">
        <v>1</v>
      </c>
      <c r="I261" s="24" t="n">
        <v>24.81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4"/>
      <c r="O261" s="22"/>
    </row>
    <row collapsed="false" customFormat="false" customHeight="false" hidden="false" ht="12.1" outlineLevel="0" r="262">
      <c r="A262" s="21" t="n">
        <v>45175.908761574</v>
      </c>
      <c r="B262" s="22" t="s">
        <v>1056</v>
      </c>
      <c r="C262" s="22" t="s">
        <v>350</v>
      </c>
      <c r="D262" s="22" t="s">
        <v>1056</v>
      </c>
      <c r="E262" s="22" t="s">
        <v>1056</v>
      </c>
      <c r="F262" s="22" t="s">
        <v>19</v>
      </c>
      <c r="G262" s="23" t="n">
        <v>1</v>
      </c>
      <c r="H262" s="24" t="n">
        <v>1</v>
      </c>
      <c r="I262" s="24" t="n">
        <v>5000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4"/>
      <c r="O262" s="22"/>
    </row>
    <row collapsed="false" customFormat="false" customHeight="false" hidden="false" ht="12.1" outlineLevel="0" r="263">
      <c r="A263" s="21" t="n">
        <v>45176.529166667</v>
      </c>
      <c r="B263" s="22" t="s">
        <v>1063</v>
      </c>
      <c r="C263" s="22" t="s">
        <v>1106</v>
      </c>
      <c r="D263" s="22" t="s">
        <v>1063</v>
      </c>
      <c r="E263" s="22" t="s">
        <v>1063</v>
      </c>
      <c r="F263" s="22" t="s">
        <v>19</v>
      </c>
      <c r="G263" s="23" t="n">
        <v>1</v>
      </c>
      <c r="H263" s="24" t="n">
        <v>1</v>
      </c>
      <c r="I263" s="24" t="n">
        <v>19.87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2"/>
    </row>
    <row collapsed="false" customFormat="false" customHeight="false" hidden="false" ht="12.1" outlineLevel="0" r="264">
      <c r="A264" s="21" t="n">
        <v>45176.563553241</v>
      </c>
      <c r="B264" s="22" t="s">
        <v>1063</v>
      </c>
      <c r="C264" s="22" t="s">
        <v>1123</v>
      </c>
      <c r="D264" s="22" t="s">
        <v>1063</v>
      </c>
      <c r="E264" s="22" t="s">
        <v>1063</v>
      </c>
      <c r="F264" s="22" t="s">
        <v>19</v>
      </c>
      <c r="G264" s="23" t="n">
        <v>1</v>
      </c>
      <c r="H264" s="24" t="n">
        <v>1</v>
      </c>
      <c r="I264" s="24" t="n">
        <v>43.33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4"/>
      <c r="O264" s="22"/>
    </row>
    <row collapsed="false" customFormat="false" customHeight="false" hidden="false" ht="12.1" outlineLevel="0" r="265">
      <c r="A265" s="21" t="n">
        <v>45183.59962963</v>
      </c>
      <c r="B265" s="22" t="s">
        <v>1056</v>
      </c>
      <c r="C265" s="22" t="s">
        <v>350</v>
      </c>
      <c r="D265" s="22" t="s">
        <v>1056</v>
      </c>
      <c r="E265" s="22" t="s">
        <v>1056</v>
      </c>
      <c r="F265" s="22" t="s">
        <v>19</v>
      </c>
      <c r="G265" s="23" t="n">
        <v>1</v>
      </c>
      <c r="H265" s="24" t="n">
        <v>1</v>
      </c>
      <c r="I265" s="24" t="n">
        <v>6000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4"/>
      <c r="O265" s="22"/>
    </row>
    <row collapsed="false" customFormat="false" customHeight="false" hidden="false" ht="12.1" outlineLevel="0" r="266">
      <c r="A266" s="20" t="n">
        <v>45184.953784722</v>
      </c>
      <c r="B266" s="16" t="s">
        <v>136</v>
      </c>
      <c r="C266" s="16" t="s">
        <v>1066</v>
      </c>
      <c r="D266" s="16" t="s">
        <v>912</v>
      </c>
      <c r="E266" s="16" t="s">
        <v>85</v>
      </c>
      <c r="F266" s="16" t="s">
        <v>19</v>
      </c>
      <c r="G266" s="7" t="n">
        <v>1</v>
      </c>
      <c r="H266" s="6" t="n">
        <v>75.439</v>
      </c>
      <c r="I266" s="6" t="n">
        <v>-754.39</v>
      </c>
      <c r="J266" s="6" t="n">
        <v>-23.24</v>
      </c>
      <c r="K266" s="6" t="n">
        <v>-2.26</v>
      </c>
      <c r="L266" s="6" t="n">
        <v>0</v>
      </c>
      <c r="M266" s="6" t="s">
        <f>=I266+J266+K266+L266</f>
      </c>
      <c r="N266" s="6"/>
      <c r="O266" s="16"/>
    </row>
    <row collapsed="false" customFormat="false" customHeight="false" hidden="false" ht="12.1" outlineLevel="0" r="267">
      <c r="A267" s="20" t="n">
        <v>45184.954178241</v>
      </c>
      <c r="B267" s="16" t="s">
        <v>106</v>
      </c>
      <c r="C267" s="16" t="s">
        <v>1100</v>
      </c>
      <c r="D267" s="16" t="s">
        <v>912</v>
      </c>
      <c r="E267" s="16" t="s">
        <v>85</v>
      </c>
      <c r="F267" s="16" t="s">
        <v>19</v>
      </c>
      <c r="G267" s="7" t="n">
        <v>1</v>
      </c>
      <c r="H267" s="6" t="n">
        <v>73.96</v>
      </c>
      <c r="I267" s="6" t="n">
        <v>-739.6</v>
      </c>
      <c r="J267" s="6" t="n">
        <v>-35.02</v>
      </c>
      <c r="K267" s="6" t="n">
        <v>-2.22</v>
      </c>
      <c r="L267" s="6" t="n">
        <v>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45184.954398148</v>
      </c>
      <c r="B268" s="16" t="s">
        <v>84</v>
      </c>
      <c r="C268" s="16" t="s">
        <v>1065</v>
      </c>
      <c r="D268" s="16" t="s">
        <v>912</v>
      </c>
      <c r="E268" s="16" t="s">
        <v>85</v>
      </c>
      <c r="F268" s="16" t="s">
        <v>19</v>
      </c>
      <c r="G268" s="7" t="n">
        <v>1</v>
      </c>
      <c r="H268" s="6" t="n">
        <v>66.648</v>
      </c>
      <c r="I268" s="6" t="n">
        <v>-666.48</v>
      </c>
      <c r="J268" s="6" t="n">
        <v>-7.86</v>
      </c>
      <c r="K268" s="6" t="n">
        <v>-2</v>
      </c>
      <c r="L268" s="6" t="n">
        <v>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0" t="n">
        <v>45184.954560185</v>
      </c>
      <c r="B269" s="16" t="s">
        <v>103</v>
      </c>
      <c r="C269" s="16" t="s">
        <v>1061</v>
      </c>
      <c r="D269" s="16" t="s">
        <v>912</v>
      </c>
      <c r="E269" s="16" t="s">
        <v>85</v>
      </c>
      <c r="F269" s="16" t="s">
        <v>19</v>
      </c>
      <c r="G269" s="7" t="n">
        <v>1</v>
      </c>
      <c r="H269" s="6" t="n">
        <v>73.233</v>
      </c>
      <c r="I269" s="6" t="n">
        <v>-732.33</v>
      </c>
      <c r="J269" s="6" t="n">
        <v>-29.1</v>
      </c>
      <c r="K269" s="6" t="n">
        <v>-2.2</v>
      </c>
      <c r="L269" s="6" t="n">
        <v>0</v>
      </c>
      <c r="M269" s="6" t="s">
        <f>=I269+J269+K269+L269</f>
      </c>
      <c r="N269" s="6"/>
      <c r="O269" s="16"/>
    </row>
    <row collapsed="false" customFormat="false" customHeight="false" hidden="false" ht="12.1" outlineLevel="0" r="270">
      <c r="A270" s="20" t="n">
        <v>45184.954791667</v>
      </c>
      <c r="B270" s="16" t="s">
        <v>94</v>
      </c>
      <c r="C270" s="16" t="s">
        <v>1107</v>
      </c>
      <c r="D270" s="16" t="s">
        <v>912</v>
      </c>
      <c r="E270" s="16" t="s">
        <v>85</v>
      </c>
      <c r="F270" s="16" t="s">
        <v>19</v>
      </c>
      <c r="G270" s="7" t="n">
        <v>1</v>
      </c>
      <c r="H270" s="6" t="n">
        <v>68.001</v>
      </c>
      <c r="I270" s="6" t="n">
        <v>-680.01</v>
      </c>
      <c r="J270" s="6" t="n">
        <v>-20.03</v>
      </c>
      <c r="K270" s="6" t="n">
        <v>-2.04</v>
      </c>
      <c r="L270" s="6" t="n">
        <v>0</v>
      </c>
      <c r="M270" s="6" t="s">
        <f>=I270+J270+K270+L270</f>
      </c>
      <c r="N270" s="6"/>
      <c r="O270" s="16"/>
    </row>
    <row collapsed="false" customFormat="false" customHeight="false" hidden="false" ht="12.1" outlineLevel="0" r="271">
      <c r="A271" s="20" t="n">
        <v>45184.954976852</v>
      </c>
      <c r="B271" s="16" t="s">
        <v>112</v>
      </c>
      <c r="C271" s="16" t="s">
        <v>1110</v>
      </c>
      <c r="D271" s="16" t="s">
        <v>912</v>
      </c>
      <c r="E271" s="16" t="s">
        <v>85</v>
      </c>
      <c r="F271" s="16" t="s">
        <v>19</v>
      </c>
      <c r="G271" s="7" t="n">
        <v>1</v>
      </c>
      <c r="H271" s="6" t="n">
        <v>71.195</v>
      </c>
      <c r="I271" s="6" t="n">
        <v>-711.95</v>
      </c>
      <c r="J271" s="6" t="n">
        <v>-6.3299999999999</v>
      </c>
      <c r="K271" s="6" t="n">
        <v>-2.14</v>
      </c>
      <c r="L271" s="6" t="n">
        <v>0</v>
      </c>
      <c r="M271" s="6" t="s">
        <f>=I271+J271+K271+L271</f>
      </c>
      <c r="N271" s="6"/>
      <c r="O271" s="16"/>
    </row>
    <row collapsed="false" customFormat="false" customHeight="false" hidden="false" ht="12.1" outlineLevel="0" r="272">
      <c r="A272" s="20" t="n">
        <v>45184.955162037</v>
      </c>
      <c r="B272" s="16" t="s">
        <v>84</v>
      </c>
      <c r="C272" s="16" t="s">
        <v>1065</v>
      </c>
      <c r="D272" s="16" t="s">
        <v>912</v>
      </c>
      <c r="E272" s="16" t="s">
        <v>85</v>
      </c>
      <c r="F272" s="16" t="s">
        <v>19</v>
      </c>
      <c r="G272" s="7" t="n">
        <v>1</v>
      </c>
      <c r="H272" s="6" t="n">
        <v>66.648</v>
      </c>
      <c r="I272" s="6" t="n">
        <v>-666.48</v>
      </c>
      <c r="J272" s="6" t="n">
        <v>-7.86</v>
      </c>
      <c r="K272" s="6" t="n">
        <v>-2</v>
      </c>
      <c r="L272" s="6" t="n">
        <v>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0" t="n">
        <v>45184.955393519</v>
      </c>
      <c r="B273" s="16" t="s">
        <v>94</v>
      </c>
      <c r="C273" s="16" t="s">
        <v>1107</v>
      </c>
      <c r="D273" s="16" t="s">
        <v>912</v>
      </c>
      <c r="E273" s="16" t="s">
        <v>85</v>
      </c>
      <c r="F273" s="16" t="s">
        <v>19</v>
      </c>
      <c r="G273" s="7" t="n">
        <v>1</v>
      </c>
      <c r="H273" s="6" t="n">
        <v>68.001</v>
      </c>
      <c r="I273" s="6" t="n">
        <v>-680.01</v>
      </c>
      <c r="J273" s="6" t="n">
        <v>-20.03</v>
      </c>
      <c r="K273" s="6" t="n">
        <v>-2.04</v>
      </c>
      <c r="L273" s="6" t="n">
        <v>0</v>
      </c>
      <c r="M273" s="6" t="s">
        <f>=I273+J273+K273+L273</f>
      </c>
      <c r="N273" s="6"/>
      <c r="O273" s="16"/>
    </row>
    <row collapsed="false" customFormat="false" customHeight="false" hidden="false" ht="12.1" outlineLevel="0" r="274">
      <c r="A274" s="20" t="n">
        <v>45184.955601852</v>
      </c>
      <c r="B274" s="16" t="s">
        <v>112</v>
      </c>
      <c r="C274" s="16" t="s">
        <v>1110</v>
      </c>
      <c r="D274" s="16" t="s">
        <v>912</v>
      </c>
      <c r="E274" s="16" t="s">
        <v>85</v>
      </c>
      <c r="F274" s="16" t="s">
        <v>19</v>
      </c>
      <c r="G274" s="7" t="n">
        <v>1</v>
      </c>
      <c r="H274" s="6" t="n">
        <v>71.195</v>
      </c>
      <c r="I274" s="6" t="n">
        <v>-711.95</v>
      </c>
      <c r="J274" s="6" t="n">
        <v>-6.3299999999999</v>
      </c>
      <c r="K274" s="6" t="n">
        <v>-2.14</v>
      </c>
      <c r="L274" s="6" t="n">
        <v>0</v>
      </c>
      <c r="M274" s="6" t="s">
        <f>=I274+J274+K274+L274</f>
      </c>
      <c r="N274" s="6"/>
      <c r="O274" s="16"/>
    </row>
    <row collapsed="false" customFormat="false" customHeight="false" hidden="false" ht="12.1" outlineLevel="0" r="275">
      <c r="A275" s="20" t="n">
        <v>45184.955868056</v>
      </c>
      <c r="B275" s="16" t="s">
        <v>103</v>
      </c>
      <c r="C275" s="16" t="s">
        <v>1061</v>
      </c>
      <c r="D275" s="16" t="s">
        <v>912</v>
      </c>
      <c r="E275" s="16" t="s">
        <v>85</v>
      </c>
      <c r="F275" s="16" t="s">
        <v>19</v>
      </c>
      <c r="G275" s="7" t="n">
        <v>1</v>
      </c>
      <c r="H275" s="6" t="n">
        <v>73.229</v>
      </c>
      <c r="I275" s="6" t="n">
        <v>-732.29</v>
      </c>
      <c r="J275" s="6" t="n">
        <v>-29.1</v>
      </c>
      <c r="K275" s="6" t="n">
        <v>-2.2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45184.956041667</v>
      </c>
      <c r="B276" s="16" t="s">
        <v>136</v>
      </c>
      <c r="C276" s="16" t="s">
        <v>1066</v>
      </c>
      <c r="D276" s="16" t="s">
        <v>912</v>
      </c>
      <c r="E276" s="16" t="s">
        <v>85</v>
      </c>
      <c r="F276" s="16" t="s">
        <v>19</v>
      </c>
      <c r="G276" s="7" t="n">
        <v>1</v>
      </c>
      <c r="H276" s="6" t="n">
        <v>75.489</v>
      </c>
      <c r="I276" s="6" t="n">
        <v>-754.89</v>
      </c>
      <c r="J276" s="6" t="n">
        <v>-23.24</v>
      </c>
      <c r="K276" s="6" t="n">
        <v>-2.26</v>
      </c>
      <c r="L276" s="6" t="n">
        <v>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45184.95619213</v>
      </c>
      <c r="B277" s="16" t="s">
        <v>106</v>
      </c>
      <c r="C277" s="16" t="s">
        <v>1100</v>
      </c>
      <c r="D277" s="16" t="s">
        <v>912</v>
      </c>
      <c r="E277" s="16" t="s">
        <v>85</v>
      </c>
      <c r="F277" s="16" t="s">
        <v>19</v>
      </c>
      <c r="G277" s="7" t="n">
        <v>1</v>
      </c>
      <c r="H277" s="6" t="n">
        <v>73.961</v>
      </c>
      <c r="I277" s="6" t="n">
        <v>-739.61</v>
      </c>
      <c r="J277" s="6" t="n">
        <v>-35.02</v>
      </c>
      <c r="K277" s="6" t="n">
        <v>-2.22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0" t="n">
        <v>45184.956365741</v>
      </c>
      <c r="B278" s="16" t="s">
        <v>84</v>
      </c>
      <c r="C278" s="16" t="s">
        <v>1065</v>
      </c>
      <c r="D278" s="16" t="s">
        <v>912</v>
      </c>
      <c r="E278" s="16" t="s">
        <v>85</v>
      </c>
      <c r="F278" s="16" t="s">
        <v>19</v>
      </c>
      <c r="G278" s="7" t="n">
        <v>1</v>
      </c>
      <c r="H278" s="6" t="n">
        <v>66.648</v>
      </c>
      <c r="I278" s="6" t="n">
        <v>-666.48</v>
      </c>
      <c r="J278" s="6" t="n">
        <v>-7.86</v>
      </c>
      <c r="K278" s="6" t="n">
        <v>-2</v>
      </c>
      <c r="L278" s="6" t="n">
        <v>0</v>
      </c>
      <c r="M278" s="6" t="s">
        <f>=I278+J278+K278+L278</f>
      </c>
      <c r="N278" s="6"/>
      <c r="O278" s="16"/>
    </row>
    <row collapsed="false" customFormat="false" customHeight="false" hidden="false" ht="12.1" outlineLevel="0" r="279">
      <c r="A279" s="20" t="n">
        <v>45184.956550926</v>
      </c>
      <c r="B279" s="16" t="s">
        <v>112</v>
      </c>
      <c r="C279" s="16" t="s">
        <v>1110</v>
      </c>
      <c r="D279" s="16" t="s">
        <v>912</v>
      </c>
      <c r="E279" s="16" t="s">
        <v>85</v>
      </c>
      <c r="F279" s="16" t="s">
        <v>19</v>
      </c>
      <c r="G279" s="7" t="n">
        <v>1</v>
      </c>
      <c r="H279" s="6" t="n">
        <v>71.195</v>
      </c>
      <c r="I279" s="6" t="n">
        <v>-711.95</v>
      </c>
      <c r="J279" s="6" t="n">
        <v>-6.3299999999999</v>
      </c>
      <c r="K279" s="6" t="n">
        <v>-2.14</v>
      </c>
      <c r="L279" s="6" t="n">
        <v>0</v>
      </c>
      <c r="M279" s="6" t="s">
        <f>=I279+J279+K279+L279</f>
      </c>
      <c r="N279" s="6"/>
      <c r="O279" s="16"/>
    </row>
    <row collapsed="false" customFormat="false" customHeight="false" hidden="false" ht="12.1" outlineLevel="0" r="280">
      <c r="A280" s="20" t="n">
        <v>45184.956759259</v>
      </c>
      <c r="B280" s="16" t="s">
        <v>94</v>
      </c>
      <c r="C280" s="16" t="s">
        <v>1107</v>
      </c>
      <c r="D280" s="16" t="s">
        <v>912</v>
      </c>
      <c r="E280" s="16" t="s">
        <v>85</v>
      </c>
      <c r="F280" s="16" t="s">
        <v>19</v>
      </c>
      <c r="G280" s="7" t="n">
        <v>1</v>
      </c>
      <c r="H280" s="6" t="n">
        <v>68.001</v>
      </c>
      <c r="I280" s="6" t="n">
        <v>-680.01</v>
      </c>
      <c r="J280" s="6" t="n">
        <v>-20.03</v>
      </c>
      <c r="K280" s="6" t="n">
        <v>-2.04</v>
      </c>
      <c r="L280" s="6" t="n">
        <v>0</v>
      </c>
      <c r="M280" s="6" t="s">
        <f>=I280+J280+K280+L280</f>
      </c>
      <c r="N280" s="6"/>
      <c r="O280" s="16"/>
    </row>
    <row collapsed="false" customFormat="false" customHeight="false" hidden="false" ht="12.1" outlineLevel="0" r="281">
      <c r="A281" s="21" t="n">
        <v>45187.400706019</v>
      </c>
      <c r="B281" s="22" t="s">
        <v>1056</v>
      </c>
      <c r="C281" s="22" t="s">
        <v>350</v>
      </c>
      <c r="D281" s="22" t="s">
        <v>1056</v>
      </c>
      <c r="E281" s="22" t="s">
        <v>1056</v>
      </c>
      <c r="F281" s="22" t="s">
        <v>19</v>
      </c>
      <c r="G281" s="23" t="n">
        <v>1</v>
      </c>
      <c r="H281" s="24" t="n">
        <v>1</v>
      </c>
      <c r="I281" s="24" t="n">
        <v>200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4"/>
      <c r="O281" s="22"/>
    </row>
    <row collapsed="false" customFormat="false" customHeight="false" hidden="false" ht="12.1" outlineLevel="0" r="282">
      <c r="A282" s="21" t="n">
        <v>45189.530925926</v>
      </c>
      <c r="B282" s="22" t="s">
        <v>1063</v>
      </c>
      <c r="C282" s="22" t="s">
        <v>1126</v>
      </c>
      <c r="D282" s="22" t="s">
        <v>1063</v>
      </c>
      <c r="E282" s="22" t="s">
        <v>1063</v>
      </c>
      <c r="F282" s="22" t="s">
        <v>19</v>
      </c>
      <c r="G282" s="23" t="n">
        <v>1</v>
      </c>
      <c r="H282" s="24" t="n">
        <v>1</v>
      </c>
      <c r="I282" s="24" t="n">
        <v>39.39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2"/>
    </row>
    <row collapsed="false" customFormat="false" customHeight="false" hidden="false" ht="12.1" outlineLevel="0" r="283">
      <c r="A283" s="21" t="n">
        <v>45191.532303241</v>
      </c>
      <c r="B283" s="22" t="s">
        <v>1063</v>
      </c>
      <c r="C283" s="22" t="s">
        <v>1085</v>
      </c>
      <c r="D283" s="22" t="s">
        <v>1063</v>
      </c>
      <c r="E283" s="22" t="s">
        <v>1063</v>
      </c>
      <c r="F283" s="22" t="s">
        <v>19</v>
      </c>
      <c r="G283" s="23" t="n">
        <v>1</v>
      </c>
      <c r="H283" s="24" t="n">
        <v>1</v>
      </c>
      <c r="I283" s="24" t="n">
        <v>205.94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2"/>
    </row>
    <row collapsed="false" customFormat="false" customHeight="false" hidden="false" ht="12.1" outlineLevel="0" r="284">
      <c r="A284" s="21" t="n">
        <v>45191.809525463</v>
      </c>
      <c r="B284" s="22" t="s">
        <v>1063</v>
      </c>
      <c r="C284" s="22" t="s">
        <v>1174</v>
      </c>
      <c r="D284" s="22" t="s">
        <v>1063</v>
      </c>
      <c r="E284" s="22" t="s">
        <v>1063</v>
      </c>
      <c r="F284" s="22" t="s">
        <v>19</v>
      </c>
      <c r="G284" s="23" t="n">
        <v>1</v>
      </c>
      <c r="H284" s="24" t="n">
        <v>1</v>
      </c>
      <c r="I284" s="24" t="n">
        <v>16.48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4"/>
      <c r="O284" s="22"/>
    </row>
    <row collapsed="false" customFormat="false" customHeight="false" hidden="false" ht="12.1" outlineLevel="0" r="285">
      <c r="A285" s="21" t="n">
        <v>45196.421828704</v>
      </c>
      <c r="B285" s="22" t="s">
        <v>1073</v>
      </c>
      <c r="C285" s="22" t="s">
        <v>1175</v>
      </c>
      <c r="D285" s="22" t="s">
        <v>1073</v>
      </c>
      <c r="E285" s="22" t="s">
        <v>1073</v>
      </c>
      <c r="F285" s="22" t="s">
        <v>19</v>
      </c>
      <c r="G285" s="23" t="n">
        <v>1</v>
      </c>
      <c r="H285" s="24" t="n">
        <v>1</v>
      </c>
      <c r="I285" s="24" t="n">
        <v>75</v>
      </c>
      <c r="J285" s="24" t="n">
        <v>0</v>
      </c>
      <c r="K285" s="24" t="n">
        <v>0</v>
      </c>
      <c r="L285" s="24" t="n">
        <v>0</v>
      </c>
      <c r="M285" s="6" t="s">
        <f>=I285+J285+K285+L285</f>
      </c>
      <c r="N285" s="24"/>
      <c r="O285" s="22"/>
    </row>
    <row collapsed="false" customFormat="false" customHeight="false" hidden="false" ht="12.1" outlineLevel="0" r="286">
      <c r="A286" s="21" t="n">
        <v>45196.423356481</v>
      </c>
      <c r="B286" s="22" t="s">
        <v>1063</v>
      </c>
      <c r="C286" s="22" t="s">
        <v>1176</v>
      </c>
      <c r="D286" s="22" t="s">
        <v>1063</v>
      </c>
      <c r="E286" s="22" t="s">
        <v>1063</v>
      </c>
      <c r="F286" s="22" t="s">
        <v>19</v>
      </c>
      <c r="G286" s="23" t="n">
        <v>1</v>
      </c>
      <c r="H286" s="24" t="n">
        <v>1</v>
      </c>
      <c r="I286" s="24" t="n">
        <v>21.6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4"/>
      <c r="O286" s="22"/>
    </row>
    <row collapsed="false" customFormat="false" customHeight="false" hidden="false" ht="12.1" outlineLevel="0" r="287">
      <c r="A287" s="21" t="n">
        <v>45197.764282407</v>
      </c>
      <c r="B287" s="22" t="s">
        <v>1063</v>
      </c>
      <c r="C287" s="22" t="s">
        <v>1128</v>
      </c>
      <c r="D287" s="22" t="s">
        <v>1063</v>
      </c>
      <c r="E287" s="22" t="s">
        <v>1063</v>
      </c>
      <c r="F287" s="22" t="s">
        <v>19</v>
      </c>
      <c r="G287" s="23" t="n">
        <v>1</v>
      </c>
      <c r="H287" s="24" t="n">
        <v>1</v>
      </c>
      <c r="I287" s="24" t="n">
        <v>59.96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1" t="n">
        <v>45198.605358796</v>
      </c>
      <c r="B288" s="22" t="s">
        <v>1056</v>
      </c>
      <c r="C288" s="22" t="s">
        <v>350</v>
      </c>
      <c r="D288" s="22" t="s">
        <v>1056</v>
      </c>
      <c r="E288" s="22" t="s">
        <v>1056</v>
      </c>
      <c r="F288" s="22" t="s">
        <v>19</v>
      </c>
      <c r="G288" s="23" t="n">
        <v>1</v>
      </c>
      <c r="H288" s="24" t="n">
        <v>1</v>
      </c>
      <c r="I288" s="24" t="n">
        <v>6000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4"/>
      <c r="O288" s="22"/>
    </row>
    <row collapsed="false" customFormat="false" customHeight="false" hidden="false" ht="12.1" outlineLevel="0" r="289">
      <c r="A289" s="20" t="n">
        <v>45198.611446759</v>
      </c>
      <c r="B289" s="16" t="s">
        <v>16</v>
      </c>
      <c r="C289" s="16" t="s">
        <v>1112</v>
      </c>
      <c r="D289" s="16" t="s">
        <v>912</v>
      </c>
      <c r="E289" s="16" t="s">
        <v>17</v>
      </c>
      <c r="F289" s="16" t="s">
        <v>19</v>
      </c>
      <c r="G289" s="7" t="n">
        <v>10</v>
      </c>
      <c r="H289" s="6" t="n">
        <v>260.74</v>
      </c>
      <c r="I289" s="6" t="n">
        <v>-2607.4</v>
      </c>
      <c r="J289" s="6" t="n">
        <v>0</v>
      </c>
      <c r="K289" s="6" t="n">
        <v>-7.82</v>
      </c>
      <c r="L289" s="6" t="n">
        <v>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0" t="n">
        <v>45198.611979167</v>
      </c>
      <c r="B290" s="16" t="s">
        <v>42</v>
      </c>
      <c r="C290" s="16" t="s">
        <v>1077</v>
      </c>
      <c r="D290" s="16" t="s">
        <v>912</v>
      </c>
      <c r="E290" s="16" t="s">
        <v>17</v>
      </c>
      <c r="F290" s="16" t="s">
        <v>19</v>
      </c>
      <c r="G290" s="7" t="n">
        <v>100</v>
      </c>
      <c r="H290" s="6" t="n">
        <v>4.2865</v>
      </c>
      <c r="I290" s="6" t="n">
        <v>-428.65</v>
      </c>
      <c r="J290" s="6" t="n">
        <v>0</v>
      </c>
      <c r="K290" s="6" t="n">
        <v>-1.29</v>
      </c>
      <c r="L290" s="6" t="n">
        <v>0</v>
      </c>
      <c r="M290" s="6" t="s">
        <f>=I290+J290+K290+L290</f>
      </c>
      <c r="N290" s="6"/>
      <c r="O290" s="16"/>
    </row>
    <row collapsed="false" customFormat="false" customHeight="false" hidden="false" ht="12.1" outlineLevel="0" r="291">
      <c r="A291" s="20" t="n">
        <v>45198.613043981</v>
      </c>
      <c r="B291" s="16" t="s">
        <v>45</v>
      </c>
      <c r="C291" s="16" t="s">
        <v>1177</v>
      </c>
      <c r="D291" s="16" t="s">
        <v>912</v>
      </c>
      <c r="E291" s="16" t="s">
        <v>17</v>
      </c>
      <c r="F291" s="16" t="s">
        <v>19</v>
      </c>
      <c r="G291" s="7" t="n">
        <v>10</v>
      </c>
      <c r="H291" s="6" t="n">
        <v>275.35</v>
      </c>
      <c r="I291" s="6" t="n">
        <v>-2753.5</v>
      </c>
      <c r="J291" s="6" t="n">
        <v>0</v>
      </c>
      <c r="K291" s="6" t="n">
        <v>-8.26</v>
      </c>
      <c r="L291" s="6" t="n">
        <v>0</v>
      </c>
      <c r="M291" s="6" t="s">
        <f>=I291+J291+K291+L291</f>
      </c>
      <c r="N291" s="6"/>
      <c r="O291" s="16"/>
    </row>
    <row collapsed="false" customFormat="false" customHeight="false" hidden="false" ht="12.1" outlineLevel="0" r="292">
      <c r="A292" s="20" t="n">
        <v>45198.613599537</v>
      </c>
      <c r="B292" s="16" t="s">
        <v>51</v>
      </c>
      <c r="C292" s="16" t="s">
        <v>1071</v>
      </c>
      <c r="D292" s="16" t="s">
        <v>912</v>
      </c>
      <c r="E292" s="16" t="s">
        <v>17</v>
      </c>
      <c r="F292" s="16" t="s">
        <v>19</v>
      </c>
      <c r="G292" s="7" t="n">
        <v>10000</v>
      </c>
      <c r="H292" s="6" t="n">
        <v>0.02573</v>
      </c>
      <c r="I292" s="6" t="n">
        <v>-257.3</v>
      </c>
      <c r="J292" s="6" t="n">
        <v>0</v>
      </c>
      <c r="K292" s="6" t="n">
        <v>-0.77</v>
      </c>
      <c r="L292" s="6" t="n">
        <v>0</v>
      </c>
      <c r="M292" s="6" t="s">
        <f>=I292+J292+K292+L292</f>
      </c>
      <c r="N292" s="6"/>
      <c r="O292" s="16"/>
    </row>
    <row collapsed="false" customFormat="false" customHeight="false" hidden="false" ht="12.1" outlineLevel="0" r="293">
      <c r="A293" s="20" t="n">
        <v>45198.61474537</v>
      </c>
      <c r="B293" s="16" t="s">
        <v>69</v>
      </c>
      <c r="C293" s="16" t="s">
        <v>1087</v>
      </c>
      <c r="D293" s="16" t="s">
        <v>912</v>
      </c>
      <c r="E293" s="16" t="s">
        <v>17</v>
      </c>
      <c r="F293" s="16" t="s">
        <v>19</v>
      </c>
      <c r="G293" s="7" t="n">
        <v>100</v>
      </c>
      <c r="H293" s="6" t="n">
        <v>7.161</v>
      </c>
      <c r="I293" s="6" t="n">
        <v>-716.1</v>
      </c>
      <c r="J293" s="6" t="n">
        <v>0</v>
      </c>
      <c r="K293" s="6" t="n">
        <v>-2.15</v>
      </c>
      <c r="L293" s="6" t="n">
        <v>0</v>
      </c>
      <c r="M293" s="6" t="s">
        <f>=I293+J293+K293+L293</f>
      </c>
      <c r="N293" s="6"/>
      <c r="O293" s="16"/>
    </row>
    <row collapsed="false" customFormat="false" customHeight="false" hidden="false" ht="12.1" outlineLevel="0" r="294">
      <c r="A294" s="21" t="n">
        <v>45204.574386574</v>
      </c>
      <c r="B294" s="22" t="s">
        <v>1063</v>
      </c>
      <c r="C294" s="22" t="s">
        <v>1130</v>
      </c>
      <c r="D294" s="22" t="s">
        <v>1063</v>
      </c>
      <c r="E294" s="22" t="s">
        <v>1063</v>
      </c>
      <c r="F294" s="22" t="s">
        <v>19</v>
      </c>
      <c r="G294" s="23" t="n">
        <v>1</v>
      </c>
      <c r="H294" s="24" t="n">
        <v>1</v>
      </c>
      <c r="I294" s="24" t="n">
        <v>191.95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4"/>
      <c r="O294" s="22"/>
    </row>
    <row collapsed="false" customFormat="false" customHeight="false" hidden="false" ht="12.1" outlineLevel="0" r="295">
      <c r="A295" s="21" t="n">
        <v>45204.713923611</v>
      </c>
      <c r="B295" s="22" t="s">
        <v>1063</v>
      </c>
      <c r="C295" s="22" t="s">
        <v>1129</v>
      </c>
      <c r="D295" s="22" t="s">
        <v>1063</v>
      </c>
      <c r="E295" s="22" t="s">
        <v>1063</v>
      </c>
      <c r="F295" s="22" t="s">
        <v>19</v>
      </c>
      <c r="G295" s="23" t="n">
        <v>1</v>
      </c>
      <c r="H295" s="24" t="n">
        <v>1</v>
      </c>
      <c r="I295" s="24" t="n">
        <v>38.39</v>
      </c>
      <c r="J295" s="24" t="n">
        <v>0</v>
      </c>
      <c r="K295" s="24" t="n">
        <v>0</v>
      </c>
      <c r="L295" s="24" t="n">
        <v>0</v>
      </c>
      <c r="M295" s="6" t="s">
        <f>=I295+J295+K295+L295</f>
      </c>
      <c r="N295" s="24"/>
      <c r="O295" s="22"/>
    </row>
    <row collapsed="false" customFormat="false" customHeight="false" hidden="false" ht="12.1" outlineLevel="0" r="296">
      <c r="A296" s="21" t="n">
        <v>45205.486990741</v>
      </c>
      <c r="B296" s="22" t="s">
        <v>1063</v>
      </c>
      <c r="C296" s="22" t="s">
        <v>1072</v>
      </c>
      <c r="D296" s="22" t="s">
        <v>1063</v>
      </c>
      <c r="E296" s="22" t="s">
        <v>1063</v>
      </c>
      <c r="F296" s="22" t="s">
        <v>19</v>
      </c>
      <c r="G296" s="23" t="n">
        <v>1</v>
      </c>
      <c r="H296" s="24" t="n">
        <v>1</v>
      </c>
      <c r="I296" s="24" t="n">
        <v>13.96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4"/>
      <c r="O296" s="22"/>
    </row>
    <row collapsed="false" customFormat="false" customHeight="false" hidden="false" ht="12.1" outlineLevel="0" r="297">
      <c r="A297" s="21" t="n">
        <v>45211.550127315</v>
      </c>
      <c r="B297" s="22" t="s">
        <v>1063</v>
      </c>
      <c r="C297" s="22" t="s">
        <v>1133</v>
      </c>
      <c r="D297" s="22" t="s">
        <v>1063</v>
      </c>
      <c r="E297" s="22" t="s">
        <v>1063</v>
      </c>
      <c r="F297" s="22" t="s">
        <v>19</v>
      </c>
      <c r="G297" s="23" t="n">
        <v>1</v>
      </c>
      <c r="H297" s="24" t="n">
        <v>1</v>
      </c>
      <c r="I297" s="24" t="n">
        <v>86.66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4"/>
      <c r="O297" s="22"/>
    </row>
    <row collapsed="false" customFormat="false" customHeight="false" hidden="false" ht="12.1" outlineLevel="0" r="298">
      <c r="A298" s="21" t="n">
        <v>45218.7221875</v>
      </c>
      <c r="B298" s="22" t="s">
        <v>1063</v>
      </c>
      <c r="C298" s="22" t="s">
        <v>1178</v>
      </c>
      <c r="D298" s="22" t="s">
        <v>1063</v>
      </c>
      <c r="E298" s="22" t="s">
        <v>1063</v>
      </c>
      <c r="F298" s="22" t="s">
        <v>19</v>
      </c>
      <c r="G298" s="23" t="n">
        <v>1</v>
      </c>
      <c r="H298" s="24" t="n">
        <v>1</v>
      </c>
      <c r="I298" s="24" t="n">
        <v>76.3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4"/>
      <c r="O298" s="22"/>
    </row>
    <row collapsed="false" customFormat="false" customHeight="false" hidden="false" ht="12.1" outlineLevel="0" r="299">
      <c r="A299" s="21" t="n">
        <v>45218.773078704</v>
      </c>
      <c r="B299" s="22" t="s">
        <v>1056</v>
      </c>
      <c r="C299" s="22" t="s">
        <v>350</v>
      </c>
      <c r="D299" s="22" t="s">
        <v>1056</v>
      </c>
      <c r="E299" s="22" t="s">
        <v>1056</v>
      </c>
      <c r="F299" s="22" t="s">
        <v>19</v>
      </c>
      <c r="G299" s="23" t="n">
        <v>1</v>
      </c>
      <c r="H299" s="24" t="n">
        <v>1</v>
      </c>
      <c r="I299" s="24" t="n">
        <v>5000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4"/>
      <c r="O299" s="22"/>
    </row>
    <row collapsed="false" customFormat="false" customHeight="false" hidden="false" ht="12.1" outlineLevel="0" r="300">
      <c r="A300" s="20" t="n">
        <v>45219.510740741</v>
      </c>
      <c r="B300" s="16" t="s">
        <v>16</v>
      </c>
      <c r="C300" s="16" t="s">
        <v>1112</v>
      </c>
      <c r="D300" s="16" t="s">
        <v>912</v>
      </c>
      <c r="E300" s="16" t="s">
        <v>17</v>
      </c>
      <c r="F300" s="16" t="s">
        <v>19</v>
      </c>
      <c r="G300" s="7" t="n">
        <v>10</v>
      </c>
      <c r="H300" s="6" t="n">
        <v>267.27</v>
      </c>
      <c r="I300" s="6" t="n">
        <v>-2672.7</v>
      </c>
      <c r="J300" s="6" t="n">
        <v>0</v>
      </c>
      <c r="K300" s="6" t="n">
        <v>-8.02</v>
      </c>
      <c r="L300" s="6" t="n">
        <v>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45219.511574074</v>
      </c>
      <c r="B301" s="16" t="s">
        <v>42</v>
      </c>
      <c r="C301" s="16" t="s">
        <v>1077</v>
      </c>
      <c r="D301" s="16" t="s">
        <v>912</v>
      </c>
      <c r="E301" s="16" t="s">
        <v>17</v>
      </c>
      <c r="F301" s="16" t="s">
        <v>19</v>
      </c>
      <c r="G301" s="7" t="n">
        <v>200</v>
      </c>
      <c r="H301" s="6" t="n">
        <v>4.4175</v>
      </c>
      <c r="I301" s="6" t="n">
        <v>-883.5</v>
      </c>
      <c r="J301" s="6" t="n">
        <v>0</v>
      </c>
      <c r="K301" s="6" t="n">
        <v>-2.65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45219.512303241</v>
      </c>
      <c r="B302" s="16" t="s">
        <v>51</v>
      </c>
      <c r="C302" s="16" t="s">
        <v>1071</v>
      </c>
      <c r="D302" s="16" t="s">
        <v>912</v>
      </c>
      <c r="E302" s="16" t="s">
        <v>17</v>
      </c>
      <c r="F302" s="16" t="s">
        <v>19</v>
      </c>
      <c r="G302" s="7" t="n">
        <v>20000</v>
      </c>
      <c r="H302" s="6" t="n">
        <v>0.02597</v>
      </c>
      <c r="I302" s="6" t="n">
        <v>-519.4</v>
      </c>
      <c r="J302" s="6" t="n">
        <v>0</v>
      </c>
      <c r="K302" s="6" t="n">
        <v>-1.56</v>
      </c>
      <c r="L302" s="6" t="n">
        <v>0</v>
      </c>
      <c r="M302" s="6" t="s">
        <f>=I302+J302+K302+L302</f>
      </c>
      <c r="N302" s="6"/>
      <c r="O302" s="16"/>
    </row>
    <row collapsed="false" customFormat="false" customHeight="false" hidden="false" ht="12.1" outlineLevel="0" r="303">
      <c r="A303" s="20" t="n">
        <v>45219.512962963</v>
      </c>
      <c r="B303" s="16" t="s">
        <v>59</v>
      </c>
      <c r="C303" s="16" t="s">
        <v>1121</v>
      </c>
      <c r="D303" s="16" t="s">
        <v>912</v>
      </c>
      <c r="E303" s="16" t="s">
        <v>17</v>
      </c>
      <c r="F303" s="16" t="s">
        <v>19</v>
      </c>
      <c r="G303" s="7" t="n">
        <v>10</v>
      </c>
      <c r="H303" s="6" t="n">
        <v>40.55</v>
      </c>
      <c r="I303" s="6" t="n">
        <v>-405.5</v>
      </c>
      <c r="J303" s="6" t="n">
        <v>0</v>
      </c>
      <c r="K303" s="6" t="n">
        <v>-1.22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45219.514375</v>
      </c>
      <c r="B304" s="16" t="s">
        <v>293</v>
      </c>
      <c r="C304" s="16" t="s">
        <v>1179</v>
      </c>
      <c r="D304" s="16" t="s">
        <v>912</v>
      </c>
      <c r="E304" s="16" t="s">
        <v>85</v>
      </c>
      <c r="F304" s="16" t="s">
        <v>19</v>
      </c>
      <c r="G304" s="7" t="n">
        <v>1</v>
      </c>
      <c r="H304" s="6" t="n">
        <v>96.68</v>
      </c>
      <c r="I304" s="6" t="n">
        <v>-966.8</v>
      </c>
      <c r="J304" s="6" t="n">
        <v>-25.5</v>
      </c>
      <c r="K304" s="6" t="n">
        <v>-2.9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1" t="n">
        <v>45223.662025463</v>
      </c>
      <c r="B305" s="22" t="s">
        <v>1063</v>
      </c>
      <c r="C305" s="22" t="s">
        <v>1174</v>
      </c>
      <c r="D305" s="22" t="s">
        <v>1063</v>
      </c>
      <c r="E305" s="22" t="s">
        <v>1063</v>
      </c>
      <c r="F305" s="22" t="s">
        <v>19</v>
      </c>
      <c r="G305" s="23" t="n">
        <v>1</v>
      </c>
      <c r="H305" s="24" t="n">
        <v>1</v>
      </c>
      <c r="I305" s="24" t="n">
        <v>22.56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2"/>
    </row>
    <row collapsed="false" customFormat="false" customHeight="false" hidden="false" ht="12.1" outlineLevel="0" r="306">
      <c r="A306" s="21" t="n">
        <v>45224.833194444</v>
      </c>
      <c r="B306" s="22" t="s">
        <v>1063</v>
      </c>
      <c r="C306" s="22" t="s">
        <v>1088</v>
      </c>
      <c r="D306" s="22" t="s">
        <v>1063</v>
      </c>
      <c r="E306" s="22" t="s">
        <v>1063</v>
      </c>
      <c r="F306" s="22" t="s">
        <v>19</v>
      </c>
      <c r="G306" s="23" t="n">
        <v>1</v>
      </c>
      <c r="H306" s="24" t="n">
        <v>1</v>
      </c>
      <c r="I306" s="24" t="n">
        <v>34.5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4"/>
      <c r="O306" s="22"/>
    </row>
    <row collapsed="false" customFormat="false" customHeight="false" hidden="false" ht="12.1" outlineLevel="0" r="307">
      <c r="A307" s="25" t="n">
        <v>45224.833194444</v>
      </c>
      <c r="B307" s="26" t="s">
        <v>1089</v>
      </c>
      <c r="C307" s="26" t="s">
        <v>1090</v>
      </c>
      <c r="D307" s="26" t="s">
        <v>1089</v>
      </c>
      <c r="E307" s="26" t="s">
        <v>1089</v>
      </c>
      <c r="F307" s="26" t="s">
        <v>19</v>
      </c>
      <c r="G307" s="27" t="n">
        <v>1</v>
      </c>
      <c r="H307" s="28" t="n">
        <v>-4</v>
      </c>
      <c r="I307" s="28" t="n">
        <v>-4</v>
      </c>
      <c r="J307" s="28" t="n">
        <v>0</v>
      </c>
      <c r="K307" s="28" t="n">
        <v>0</v>
      </c>
      <c r="L307" s="28" t="n">
        <v>0</v>
      </c>
      <c r="M307" s="6" t="s">
        <f>=I307+J307+K307+L307</f>
      </c>
      <c r="N307" s="28"/>
      <c r="O307" s="26"/>
    </row>
    <row collapsed="false" customFormat="false" customHeight="false" hidden="false" ht="12.1" outlineLevel="0" r="308">
      <c r="A308" s="21" t="n">
        <v>45225.501446759</v>
      </c>
      <c r="B308" s="22" t="s">
        <v>1063</v>
      </c>
      <c r="C308" s="22" t="s">
        <v>1080</v>
      </c>
      <c r="D308" s="22" t="s">
        <v>1063</v>
      </c>
      <c r="E308" s="22" t="s">
        <v>1063</v>
      </c>
      <c r="F308" s="22" t="s">
        <v>19</v>
      </c>
      <c r="G308" s="23" t="n">
        <v>1</v>
      </c>
      <c r="H308" s="24" t="n">
        <v>1</v>
      </c>
      <c r="I308" s="24" t="n">
        <v>27.78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4"/>
      <c r="O308" s="22"/>
    </row>
    <row collapsed="false" customFormat="false" customHeight="false" hidden="false" ht="12.1" outlineLevel="0" r="309">
      <c r="A309" s="21" t="n">
        <v>45225.530497685</v>
      </c>
      <c r="B309" s="22" t="s">
        <v>1063</v>
      </c>
      <c r="C309" s="22" t="s">
        <v>1180</v>
      </c>
      <c r="D309" s="22" t="s">
        <v>1063</v>
      </c>
      <c r="E309" s="22" t="s">
        <v>1063</v>
      </c>
      <c r="F309" s="22" t="s">
        <v>19</v>
      </c>
      <c r="G309" s="23" t="n">
        <v>1</v>
      </c>
      <c r="H309" s="24" t="n">
        <v>1</v>
      </c>
      <c r="I309" s="24" t="n">
        <v>31.64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4"/>
      <c r="O309" s="22"/>
    </row>
    <row collapsed="false" customFormat="false" customHeight="false" hidden="false" ht="12.1" outlineLevel="0" r="310">
      <c r="A310" s="21" t="n">
        <v>45225.689537037</v>
      </c>
      <c r="B310" s="22" t="s">
        <v>1063</v>
      </c>
      <c r="C310" s="22" t="s">
        <v>1095</v>
      </c>
      <c r="D310" s="22" t="s">
        <v>1063</v>
      </c>
      <c r="E310" s="22" t="s">
        <v>1063</v>
      </c>
      <c r="F310" s="22" t="s">
        <v>19</v>
      </c>
      <c r="G310" s="23" t="n">
        <v>1</v>
      </c>
      <c r="H310" s="24" t="n">
        <v>1</v>
      </c>
      <c r="I310" s="24" t="n">
        <v>27.54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4"/>
      <c r="O310" s="22"/>
    </row>
    <row collapsed="false" customFormat="false" customHeight="false" hidden="false" ht="12.1" outlineLevel="0" r="311">
      <c r="A311" s="25" t="n">
        <v>45225.689537037</v>
      </c>
      <c r="B311" s="26" t="s">
        <v>1089</v>
      </c>
      <c r="C311" s="26" t="s">
        <v>1094</v>
      </c>
      <c r="D311" s="26" t="s">
        <v>1089</v>
      </c>
      <c r="E311" s="26" t="s">
        <v>1089</v>
      </c>
      <c r="F311" s="26" t="s">
        <v>19</v>
      </c>
      <c r="G311" s="27" t="n">
        <v>1</v>
      </c>
      <c r="H311" s="28" t="n">
        <v>-4</v>
      </c>
      <c r="I311" s="28" t="n">
        <v>-4</v>
      </c>
      <c r="J311" s="28" t="n">
        <v>0</v>
      </c>
      <c r="K311" s="28" t="n">
        <v>0</v>
      </c>
      <c r="L311" s="28" t="n">
        <v>0</v>
      </c>
      <c r="M311" s="6" t="s">
        <f>=I311+J311+K311+L311</f>
      </c>
      <c r="N311" s="28"/>
      <c r="O311" s="26"/>
    </row>
    <row collapsed="false" customFormat="false" customHeight="false" hidden="false" ht="12.1" outlineLevel="0" r="312">
      <c r="A312" s="21" t="n">
        <v>45231.50306713</v>
      </c>
      <c r="B312" s="22" t="s">
        <v>1063</v>
      </c>
      <c r="C312" s="22" t="s">
        <v>1117</v>
      </c>
      <c r="D312" s="22" t="s">
        <v>1063</v>
      </c>
      <c r="E312" s="22" t="s">
        <v>1063</v>
      </c>
      <c r="F312" s="22" t="s">
        <v>19</v>
      </c>
      <c r="G312" s="23" t="n">
        <v>1</v>
      </c>
      <c r="H312" s="24" t="n">
        <v>1</v>
      </c>
      <c r="I312" s="24" t="n">
        <v>28.22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4"/>
      <c r="O312" s="22"/>
    </row>
    <row collapsed="false" customFormat="false" customHeight="false" hidden="false" ht="12.1" outlineLevel="0" r="313">
      <c r="A313" s="21" t="n">
        <v>45232.572303241</v>
      </c>
      <c r="B313" s="22" t="s">
        <v>1063</v>
      </c>
      <c r="C313" s="22" t="s">
        <v>1181</v>
      </c>
      <c r="D313" s="22" t="s">
        <v>1063</v>
      </c>
      <c r="E313" s="22" t="s">
        <v>1063</v>
      </c>
      <c r="F313" s="22" t="s">
        <v>19</v>
      </c>
      <c r="G313" s="23" t="n">
        <v>1</v>
      </c>
      <c r="H313" s="24" t="n">
        <v>1</v>
      </c>
      <c r="I313" s="24" t="n">
        <v>28.73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2"/>
    </row>
    <row collapsed="false" customFormat="false" customHeight="false" hidden="false" ht="12.1" outlineLevel="0" r="314">
      <c r="A314" s="21" t="n">
        <v>45233.52806713</v>
      </c>
      <c r="B314" s="22" t="s">
        <v>1063</v>
      </c>
      <c r="C314" s="22" t="s">
        <v>1101</v>
      </c>
      <c r="D314" s="22" t="s">
        <v>1063</v>
      </c>
      <c r="E314" s="22" t="s">
        <v>1063</v>
      </c>
      <c r="F314" s="22" t="s">
        <v>19</v>
      </c>
      <c r="G314" s="23" t="n">
        <v>1</v>
      </c>
      <c r="H314" s="24" t="n">
        <v>1</v>
      </c>
      <c r="I314" s="24" t="n">
        <v>42.38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/>
    </row>
    <row collapsed="false" customFormat="false" customHeight="false" hidden="false" ht="12.1" outlineLevel="0" r="315">
      <c r="A315" s="21" t="n">
        <v>45237.711168981</v>
      </c>
      <c r="B315" s="22" t="s">
        <v>1056</v>
      </c>
      <c r="C315" s="22" t="s">
        <v>350</v>
      </c>
      <c r="D315" s="22" t="s">
        <v>1056</v>
      </c>
      <c r="E315" s="22" t="s">
        <v>1056</v>
      </c>
      <c r="F315" s="22" t="s">
        <v>19</v>
      </c>
      <c r="G315" s="23" t="n">
        <v>1</v>
      </c>
      <c r="H315" s="24" t="n">
        <v>1</v>
      </c>
      <c r="I315" s="24" t="n">
        <v>5000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2"/>
    </row>
    <row collapsed="false" customFormat="false" customHeight="false" hidden="false" ht="12.1" outlineLevel="0" r="316">
      <c r="A316" s="20" t="n">
        <v>45240.542071759</v>
      </c>
      <c r="B316" s="16" t="s">
        <v>127</v>
      </c>
      <c r="C316" s="16" t="s">
        <v>1099</v>
      </c>
      <c r="D316" s="16" t="s">
        <v>912</v>
      </c>
      <c r="E316" s="16" t="s">
        <v>85</v>
      </c>
      <c r="F316" s="16" t="s">
        <v>19</v>
      </c>
      <c r="G316" s="7" t="n">
        <v>1</v>
      </c>
      <c r="H316" s="6" t="n">
        <v>79.5</v>
      </c>
      <c r="I316" s="6" t="n">
        <v>-795</v>
      </c>
      <c r="J316" s="6" t="n">
        <v>-8.4400000000001</v>
      </c>
      <c r="K316" s="6" t="n">
        <v>-2.39</v>
      </c>
      <c r="L316" s="6" t="n">
        <v>0</v>
      </c>
      <c r="M316" s="6" t="s">
        <f>=I316+J316+K316+L316</f>
      </c>
      <c r="N316" s="6"/>
      <c r="O316" s="16"/>
    </row>
    <row collapsed="false" customFormat="false" customHeight="false" hidden="false" ht="12.1" outlineLevel="0" r="317">
      <c r="A317" s="20" t="n">
        <v>45240.542511574</v>
      </c>
      <c r="B317" s="16" t="s">
        <v>136</v>
      </c>
      <c r="C317" s="16" t="s">
        <v>1066</v>
      </c>
      <c r="D317" s="16" t="s">
        <v>912</v>
      </c>
      <c r="E317" s="16" t="s">
        <v>85</v>
      </c>
      <c r="F317" s="16" t="s">
        <v>19</v>
      </c>
      <c r="G317" s="7" t="n">
        <v>1</v>
      </c>
      <c r="H317" s="6" t="n">
        <v>75.5</v>
      </c>
      <c r="I317" s="6" t="n">
        <v>-755</v>
      </c>
      <c r="J317" s="6" t="n">
        <v>-34.36</v>
      </c>
      <c r="K317" s="6" t="n">
        <v>-2.27</v>
      </c>
      <c r="L317" s="6" t="n">
        <v>0</v>
      </c>
      <c r="M317" s="6" t="s">
        <f>=I317+J317+K317+L317</f>
      </c>
      <c r="N317" s="6"/>
      <c r="O317" s="16"/>
    </row>
    <row collapsed="false" customFormat="false" customHeight="false" hidden="false" ht="12.1" outlineLevel="0" r="318">
      <c r="A318" s="20" t="n">
        <v>45240.54349537</v>
      </c>
      <c r="B318" s="16" t="s">
        <v>124</v>
      </c>
      <c r="C318" s="16" t="s">
        <v>1136</v>
      </c>
      <c r="D318" s="16" t="s">
        <v>912</v>
      </c>
      <c r="E318" s="16" t="s">
        <v>85</v>
      </c>
      <c r="F318" s="16" t="s">
        <v>19</v>
      </c>
      <c r="G318" s="7" t="n">
        <v>1</v>
      </c>
      <c r="H318" s="6" t="n">
        <v>83.588</v>
      </c>
      <c r="I318" s="6" t="n">
        <v>-835.88</v>
      </c>
      <c r="J318" s="6" t="n">
        <v>-5.45</v>
      </c>
      <c r="K318" s="6" t="n">
        <v>-2.51</v>
      </c>
      <c r="L318" s="6" t="n">
        <v>0</v>
      </c>
      <c r="M318" s="6" t="s">
        <f>=I318+J318+K318+L318</f>
      </c>
      <c r="N318" s="6"/>
      <c r="O318" s="16"/>
    </row>
    <row collapsed="false" customFormat="false" customHeight="false" hidden="false" ht="12.1" outlineLevel="0" r="319">
      <c r="A319" s="20" t="n">
        <v>45240.543854167</v>
      </c>
      <c r="B319" s="16" t="s">
        <v>106</v>
      </c>
      <c r="C319" s="16" t="s">
        <v>1100</v>
      </c>
      <c r="D319" s="16" t="s">
        <v>912</v>
      </c>
      <c r="E319" s="16" t="s">
        <v>85</v>
      </c>
      <c r="F319" s="16" t="s">
        <v>19</v>
      </c>
      <c r="G319" s="7" t="n">
        <v>1</v>
      </c>
      <c r="H319" s="6" t="n">
        <v>73.589</v>
      </c>
      <c r="I319" s="6" t="n">
        <v>-735.89</v>
      </c>
      <c r="J319" s="6" t="n">
        <v>-8.4400000000001</v>
      </c>
      <c r="K319" s="6" t="n">
        <v>-2.21</v>
      </c>
      <c r="L319" s="6" t="n">
        <v>0</v>
      </c>
      <c r="M319" s="6" t="s">
        <f>=I319+J319+K319+L319</f>
      </c>
      <c r="N319" s="6"/>
      <c r="O319" s="16"/>
    </row>
    <row collapsed="false" customFormat="false" customHeight="false" hidden="false" ht="12.1" outlineLevel="0" r="320">
      <c r="A320" s="20" t="n">
        <v>45240.544131944</v>
      </c>
      <c r="B320" s="16" t="s">
        <v>84</v>
      </c>
      <c r="C320" s="16" t="s">
        <v>1065</v>
      </c>
      <c r="D320" s="16" t="s">
        <v>912</v>
      </c>
      <c r="E320" s="16" t="s">
        <v>85</v>
      </c>
      <c r="F320" s="16" t="s">
        <v>19</v>
      </c>
      <c r="G320" s="7" t="n">
        <v>2</v>
      </c>
      <c r="H320" s="6" t="n">
        <v>66.663</v>
      </c>
      <c r="I320" s="6" t="n">
        <v>-1333.26</v>
      </c>
      <c r="J320" s="6" t="n">
        <v>-34.44</v>
      </c>
      <c r="K320" s="6" t="n">
        <v>-4</v>
      </c>
      <c r="L320" s="6" t="n">
        <v>0</v>
      </c>
      <c r="M320" s="6" t="s">
        <f>=I320+J320+K320+L320</f>
      </c>
      <c r="N320" s="6"/>
      <c r="O320" s="16"/>
    </row>
    <row collapsed="false" customFormat="false" customHeight="false" hidden="false" ht="12.1" outlineLevel="0" r="321">
      <c r="A321" s="20" t="n">
        <v>45240.544467593</v>
      </c>
      <c r="B321" s="16" t="s">
        <v>94</v>
      </c>
      <c r="C321" s="16" t="s">
        <v>1107</v>
      </c>
      <c r="D321" s="16" t="s">
        <v>912</v>
      </c>
      <c r="E321" s="16" t="s">
        <v>85</v>
      </c>
      <c r="F321" s="16" t="s">
        <v>19</v>
      </c>
      <c r="G321" s="7" t="n">
        <v>1</v>
      </c>
      <c r="H321" s="6" t="n">
        <v>67.887</v>
      </c>
      <c r="I321" s="6" t="n">
        <v>-678.87</v>
      </c>
      <c r="J321" s="6" t="n">
        <v>-30.93</v>
      </c>
      <c r="K321" s="6" t="n">
        <v>-2.04</v>
      </c>
      <c r="L321" s="6" t="n">
        <v>0</v>
      </c>
      <c r="M321" s="6" t="s">
        <f>=I321+J321+K321+L321</f>
      </c>
      <c r="N321" s="6"/>
      <c r="O321" s="16"/>
    </row>
    <row collapsed="false" customFormat="false" customHeight="false" hidden="false" ht="12.1" outlineLevel="0" r="322">
      <c r="A322" s="21" t="n">
        <v>45244.530613426</v>
      </c>
      <c r="B322" s="22" t="s">
        <v>1056</v>
      </c>
      <c r="C322" s="22" t="s">
        <v>350</v>
      </c>
      <c r="D322" s="22" t="s">
        <v>1056</v>
      </c>
      <c r="E322" s="22" t="s">
        <v>1056</v>
      </c>
      <c r="F322" s="22" t="s">
        <v>19</v>
      </c>
      <c r="G322" s="23" t="n">
        <v>1</v>
      </c>
      <c r="H322" s="24" t="n">
        <v>1</v>
      </c>
      <c r="I322" s="24" t="n">
        <v>6200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0" t="n">
        <v>45244.538888889</v>
      </c>
      <c r="B323" s="16" t="s">
        <v>16</v>
      </c>
      <c r="C323" s="16" t="s">
        <v>1112</v>
      </c>
      <c r="D323" s="16" t="s">
        <v>912</v>
      </c>
      <c r="E323" s="16" t="s">
        <v>17</v>
      </c>
      <c r="F323" s="16" t="s">
        <v>19</v>
      </c>
      <c r="G323" s="7" t="n">
        <v>10</v>
      </c>
      <c r="H323" s="6" t="n">
        <v>282.98</v>
      </c>
      <c r="I323" s="6" t="n">
        <v>-2829.8</v>
      </c>
      <c r="J323" s="6" t="n">
        <v>0</v>
      </c>
      <c r="K323" s="6" t="n">
        <v>-8.49</v>
      </c>
      <c r="L323" s="6" t="n">
        <v>0</v>
      </c>
      <c r="M323" s="6" t="s">
        <f>=I323+J323+K323+L323</f>
      </c>
      <c r="N323" s="6"/>
      <c r="O323" s="16"/>
    </row>
    <row collapsed="false" customFormat="false" customHeight="false" hidden="false" ht="12.1" outlineLevel="0" r="324">
      <c r="A324" s="20" t="n">
        <v>45244.539502315</v>
      </c>
      <c r="B324" s="16" t="s">
        <v>42</v>
      </c>
      <c r="C324" s="16" t="s">
        <v>1077</v>
      </c>
      <c r="D324" s="16" t="s">
        <v>912</v>
      </c>
      <c r="E324" s="16" t="s">
        <v>17</v>
      </c>
      <c r="F324" s="16" t="s">
        <v>19</v>
      </c>
      <c r="G324" s="7" t="n">
        <v>100</v>
      </c>
      <c r="H324" s="6" t="n">
        <v>4.27</v>
      </c>
      <c r="I324" s="6" t="n">
        <v>-427</v>
      </c>
      <c r="J324" s="6" t="n">
        <v>0</v>
      </c>
      <c r="K324" s="6" t="n">
        <v>-1.28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45244.539988426</v>
      </c>
      <c r="B325" s="16" t="s">
        <v>932</v>
      </c>
      <c r="C325" s="16" t="s">
        <v>1182</v>
      </c>
      <c r="D325" s="16" t="s">
        <v>912</v>
      </c>
      <c r="E325" s="16" t="s">
        <v>17</v>
      </c>
      <c r="F325" s="16" t="s">
        <v>19</v>
      </c>
      <c r="G325" s="7" t="n">
        <v>1000</v>
      </c>
      <c r="H325" s="6" t="n">
        <v>2.231</v>
      </c>
      <c r="I325" s="6" t="n">
        <v>-2231</v>
      </c>
      <c r="J325" s="6" t="n">
        <v>0</v>
      </c>
      <c r="K325" s="6" t="n">
        <v>-6.69</v>
      </c>
      <c r="L325" s="6" t="n">
        <v>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1" t="n">
        <v>45246.614259259</v>
      </c>
      <c r="B326" s="22" t="s">
        <v>1063</v>
      </c>
      <c r="C326" s="22" t="s">
        <v>1102</v>
      </c>
      <c r="D326" s="22" t="s">
        <v>1063</v>
      </c>
      <c r="E326" s="22" t="s">
        <v>1063</v>
      </c>
      <c r="F326" s="22" t="s">
        <v>19</v>
      </c>
      <c r="G326" s="23" t="n">
        <v>1</v>
      </c>
      <c r="H326" s="24" t="n">
        <v>1</v>
      </c>
      <c r="I326" s="24" t="n">
        <v>130.29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4"/>
      <c r="O326" s="22"/>
    </row>
    <row collapsed="false" customFormat="false" customHeight="false" hidden="false" ht="12.1" outlineLevel="0" r="327">
      <c r="A327" s="21" t="n">
        <v>45251.628472222</v>
      </c>
      <c r="B327" s="22" t="s">
        <v>1063</v>
      </c>
      <c r="C327" s="22" t="s">
        <v>1137</v>
      </c>
      <c r="D327" s="22" t="s">
        <v>1063</v>
      </c>
      <c r="E327" s="22" t="s">
        <v>1063</v>
      </c>
      <c r="F327" s="22" t="s">
        <v>19</v>
      </c>
      <c r="G327" s="23" t="n">
        <v>1</v>
      </c>
      <c r="H327" s="24" t="n">
        <v>1</v>
      </c>
      <c r="I327" s="24" t="n">
        <v>64.82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4"/>
      <c r="O327" s="22"/>
    </row>
    <row collapsed="false" customFormat="false" customHeight="false" hidden="false" ht="12.1" outlineLevel="0" r="328">
      <c r="A328" s="21" t="n">
        <v>45254.504583333</v>
      </c>
      <c r="B328" s="22" t="s">
        <v>1063</v>
      </c>
      <c r="C328" s="22" t="s">
        <v>1174</v>
      </c>
      <c r="D328" s="22" t="s">
        <v>1063</v>
      </c>
      <c r="E328" s="22" t="s">
        <v>1063</v>
      </c>
      <c r="F328" s="22" t="s">
        <v>19</v>
      </c>
      <c r="G328" s="23" t="n">
        <v>1</v>
      </c>
      <c r="H328" s="24" t="n">
        <v>1</v>
      </c>
      <c r="I328" s="24" t="n">
        <v>23.86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4"/>
      <c r="O328" s="22"/>
    </row>
    <row collapsed="false" customFormat="false" customHeight="false" hidden="false" ht="12.1" outlineLevel="0" r="329">
      <c r="A329" s="21" t="n">
        <v>45254.756527778</v>
      </c>
      <c r="B329" s="22" t="s">
        <v>1073</v>
      </c>
      <c r="C329" s="22" t="s">
        <v>1103</v>
      </c>
      <c r="D329" s="22" t="s">
        <v>1073</v>
      </c>
      <c r="E329" s="22" t="s">
        <v>1073</v>
      </c>
      <c r="F329" s="22" t="s">
        <v>19</v>
      </c>
      <c r="G329" s="23" t="n">
        <v>1</v>
      </c>
      <c r="H329" s="24" t="n">
        <v>1</v>
      </c>
      <c r="I329" s="24" t="n">
        <v>250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1" t="n">
        <v>45254.761284722</v>
      </c>
      <c r="B330" s="22" t="s">
        <v>1063</v>
      </c>
      <c r="C330" s="22" t="s">
        <v>1064</v>
      </c>
      <c r="D330" s="22" t="s">
        <v>1063</v>
      </c>
      <c r="E330" s="22" t="s">
        <v>1063</v>
      </c>
      <c r="F330" s="22" t="s">
        <v>19</v>
      </c>
      <c r="G330" s="23" t="n">
        <v>1</v>
      </c>
      <c r="H330" s="24" t="n">
        <v>1</v>
      </c>
      <c r="I330" s="24" t="n">
        <v>10.72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4"/>
      <c r="O330" s="22"/>
    </row>
    <row collapsed="false" customFormat="false" customHeight="false" hidden="false" ht="12.1" outlineLevel="0" r="331">
      <c r="A331" s="21" t="n">
        <v>45257.499155093</v>
      </c>
      <c r="B331" s="22" t="s">
        <v>1063</v>
      </c>
      <c r="C331" s="22" t="s">
        <v>1104</v>
      </c>
      <c r="D331" s="22" t="s">
        <v>1063</v>
      </c>
      <c r="E331" s="22" t="s">
        <v>1063</v>
      </c>
      <c r="F331" s="22" t="s">
        <v>19</v>
      </c>
      <c r="G331" s="23" t="n">
        <v>1</v>
      </c>
      <c r="H331" s="24" t="n">
        <v>1</v>
      </c>
      <c r="I331" s="24" t="n">
        <v>216.9</v>
      </c>
      <c r="J331" s="24" t="n">
        <v>0</v>
      </c>
      <c r="K331" s="24" t="n">
        <v>0</v>
      </c>
      <c r="L331" s="24" t="n">
        <v>0</v>
      </c>
      <c r="M331" s="6" t="s">
        <f>=I331+J331+K331+L331</f>
      </c>
      <c r="N331" s="24"/>
      <c r="O331" s="22"/>
    </row>
    <row collapsed="false" customFormat="false" customHeight="false" hidden="false" ht="12.1" outlineLevel="0" r="332">
      <c r="A332" s="21" t="n">
        <v>45257.56849537</v>
      </c>
      <c r="B332" s="22" t="s">
        <v>1063</v>
      </c>
      <c r="C332" s="22" t="s">
        <v>1183</v>
      </c>
      <c r="D332" s="22" t="s">
        <v>1063</v>
      </c>
      <c r="E332" s="22" t="s">
        <v>1063</v>
      </c>
      <c r="F332" s="22" t="s">
        <v>19</v>
      </c>
      <c r="G332" s="23" t="n">
        <v>1</v>
      </c>
      <c r="H332" s="24" t="n">
        <v>1</v>
      </c>
      <c r="I332" s="24" t="n">
        <v>89.8</v>
      </c>
      <c r="J332" s="24" t="n">
        <v>0</v>
      </c>
      <c r="K332" s="24" t="n">
        <v>0</v>
      </c>
      <c r="L332" s="24" t="n">
        <v>0</v>
      </c>
      <c r="M332" s="6" t="s">
        <f>=I332+J332+K332+L332</f>
      </c>
      <c r="N332" s="24"/>
      <c r="O332" s="22"/>
    </row>
    <row collapsed="false" customFormat="false" customHeight="false" hidden="false" ht="12.1" outlineLevel="0" r="333">
      <c r="A333" s="21" t="n">
        <v>45258.448344907</v>
      </c>
      <c r="B333" s="22" t="s">
        <v>1063</v>
      </c>
      <c r="C333" s="22" t="s">
        <v>1142</v>
      </c>
      <c r="D333" s="22" t="s">
        <v>1063</v>
      </c>
      <c r="E333" s="22" t="s">
        <v>1063</v>
      </c>
      <c r="F333" s="22" t="s">
        <v>19</v>
      </c>
      <c r="G333" s="23" t="n">
        <v>1</v>
      </c>
      <c r="H333" s="24" t="n">
        <v>1</v>
      </c>
      <c r="I333" s="24" t="n">
        <v>10.83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4"/>
      <c r="O333" s="22"/>
    </row>
    <row collapsed="false" customFormat="false" customHeight="false" hidden="false" ht="12.1" outlineLevel="0" r="334">
      <c r="A334" s="21" t="n">
        <v>45265.48869213</v>
      </c>
      <c r="B334" s="22" t="s">
        <v>1063</v>
      </c>
      <c r="C334" s="22" t="s">
        <v>1105</v>
      </c>
      <c r="D334" s="22" t="s">
        <v>1063</v>
      </c>
      <c r="E334" s="22" t="s">
        <v>1063</v>
      </c>
      <c r="F334" s="22" t="s">
        <v>19</v>
      </c>
      <c r="G334" s="23" t="n">
        <v>1</v>
      </c>
      <c r="H334" s="24" t="n">
        <v>1</v>
      </c>
      <c r="I334" s="24" t="n">
        <v>24.81</v>
      </c>
      <c r="J334" s="24" t="n">
        <v>0</v>
      </c>
      <c r="K334" s="24" t="n">
        <v>0</v>
      </c>
      <c r="L334" s="24" t="n">
        <v>0</v>
      </c>
      <c r="M334" s="6" t="s">
        <f>=I334+J334+K334+L334</f>
      </c>
      <c r="N334" s="24"/>
      <c r="O334" s="22"/>
    </row>
    <row collapsed="false" customFormat="false" customHeight="false" hidden="false" ht="12.1" outlineLevel="0" r="335">
      <c r="A335" s="21" t="n">
        <v>45266.542604167</v>
      </c>
      <c r="B335" s="22" t="s">
        <v>1063</v>
      </c>
      <c r="C335" s="22" t="s">
        <v>1184</v>
      </c>
      <c r="D335" s="22" t="s">
        <v>1063</v>
      </c>
      <c r="E335" s="22" t="s">
        <v>1063</v>
      </c>
      <c r="F335" s="22" t="s">
        <v>19</v>
      </c>
      <c r="G335" s="23" t="n">
        <v>1</v>
      </c>
      <c r="H335" s="24" t="n">
        <v>1</v>
      </c>
      <c r="I335" s="24" t="n">
        <v>56.1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4"/>
      <c r="O335" s="22"/>
    </row>
    <row collapsed="false" customFormat="false" customHeight="false" hidden="false" ht="12.1" outlineLevel="0" r="336">
      <c r="A336" s="21" t="n">
        <v>45267.408935185</v>
      </c>
      <c r="B336" s="22" t="s">
        <v>1056</v>
      </c>
      <c r="C336" s="22" t="s">
        <v>350</v>
      </c>
      <c r="D336" s="22" t="s">
        <v>1056</v>
      </c>
      <c r="E336" s="22" t="s">
        <v>1056</v>
      </c>
      <c r="F336" s="22" t="s">
        <v>19</v>
      </c>
      <c r="G336" s="23" t="n">
        <v>1</v>
      </c>
      <c r="H336" s="24" t="n">
        <v>1</v>
      </c>
      <c r="I336" s="24" t="n">
        <v>11200</v>
      </c>
      <c r="J336" s="24" t="n">
        <v>0</v>
      </c>
      <c r="K336" s="24" t="n">
        <v>0</v>
      </c>
      <c r="L336" s="24" t="n">
        <v>0</v>
      </c>
      <c r="M336" s="6" t="s">
        <f>=I336+J336+K336+L336</f>
      </c>
      <c r="N336" s="24"/>
      <c r="O336" s="22"/>
    </row>
    <row collapsed="false" customFormat="false" customHeight="false" hidden="false" ht="12.1" outlineLevel="0" r="337">
      <c r="A337" s="20" t="n">
        <v>45267.417418981</v>
      </c>
      <c r="B337" s="16" t="s">
        <v>16</v>
      </c>
      <c r="C337" s="16" t="s">
        <v>1112</v>
      </c>
      <c r="D337" s="16" t="s">
        <v>912</v>
      </c>
      <c r="E337" s="16" t="s">
        <v>17</v>
      </c>
      <c r="F337" s="16" t="s">
        <v>19</v>
      </c>
      <c r="G337" s="7" t="n">
        <v>10</v>
      </c>
      <c r="H337" s="6" t="n">
        <v>267.98</v>
      </c>
      <c r="I337" s="6" t="n">
        <v>-2679.8</v>
      </c>
      <c r="J337" s="6" t="n">
        <v>0</v>
      </c>
      <c r="K337" s="6" t="n">
        <v>-8.04</v>
      </c>
      <c r="L337" s="6" t="n">
        <v>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45267.420092593</v>
      </c>
      <c r="B338" s="16" t="s">
        <v>139</v>
      </c>
      <c r="C338" s="16" t="s">
        <v>1131</v>
      </c>
      <c r="D338" s="16" t="s">
        <v>912</v>
      </c>
      <c r="E338" s="16" t="s">
        <v>85</v>
      </c>
      <c r="F338" s="16" t="s">
        <v>19</v>
      </c>
      <c r="G338" s="7" t="n">
        <v>1</v>
      </c>
      <c r="H338" s="6" t="n">
        <v>74.229317711812</v>
      </c>
      <c r="I338" s="6" t="n">
        <v>-922.47</v>
      </c>
      <c r="J338" s="6" t="n">
        <v>-1.14</v>
      </c>
      <c r="K338" s="6" t="n">
        <v>-2.77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45267.420902778</v>
      </c>
      <c r="B339" s="16" t="s">
        <v>924</v>
      </c>
      <c r="C339" s="16" t="s">
        <v>1143</v>
      </c>
      <c r="D339" s="16" t="s">
        <v>912</v>
      </c>
      <c r="E339" s="16" t="s">
        <v>85</v>
      </c>
      <c r="F339" s="16" t="s">
        <v>19</v>
      </c>
      <c r="G339" s="7" t="n">
        <v>1</v>
      </c>
      <c r="H339" s="6" t="n">
        <v>87.78</v>
      </c>
      <c r="I339" s="6" t="n">
        <v>-877.8</v>
      </c>
      <c r="J339" s="6" t="n">
        <v>-0.36000000000001</v>
      </c>
      <c r="K339" s="6" t="n">
        <v>-2.63</v>
      </c>
      <c r="L339" s="6" t="n">
        <v>0</v>
      </c>
      <c r="M339" s="6" t="s">
        <f>=I339+J339+K339+L339</f>
      </c>
      <c r="N339" s="6"/>
      <c r="O339" s="16"/>
    </row>
    <row collapsed="false" customFormat="false" customHeight="false" hidden="false" ht="12.1" outlineLevel="0" r="340">
      <c r="A340" s="20" t="n">
        <v>45267.42244213</v>
      </c>
      <c r="B340" s="16" t="s">
        <v>334</v>
      </c>
      <c r="C340" s="16" t="s">
        <v>1185</v>
      </c>
      <c r="D340" s="16" t="s">
        <v>912</v>
      </c>
      <c r="E340" s="16" t="s">
        <v>85</v>
      </c>
      <c r="F340" s="16" t="s">
        <v>19</v>
      </c>
      <c r="G340" s="7" t="n">
        <v>1</v>
      </c>
      <c r="H340" s="6" t="n">
        <v>97.58</v>
      </c>
      <c r="I340" s="6" t="n">
        <v>-975.8</v>
      </c>
      <c r="J340" s="6" t="n">
        <v>-16.95</v>
      </c>
      <c r="K340" s="6" t="n">
        <v>-2.93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45267.423032407</v>
      </c>
      <c r="B341" s="16" t="s">
        <v>296</v>
      </c>
      <c r="C341" s="16" t="s">
        <v>1186</v>
      </c>
      <c r="D341" s="16" t="s">
        <v>912</v>
      </c>
      <c r="E341" s="16" t="s">
        <v>85</v>
      </c>
      <c r="F341" s="16" t="s">
        <v>19</v>
      </c>
      <c r="G341" s="7" t="n">
        <v>2</v>
      </c>
      <c r="H341" s="6" t="n">
        <v>87.48</v>
      </c>
      <c r="I341" s="6" t="n">
        <v>-1749.6</v>
      </c>
      <c r="J341" s="6" t="n">
        <v>-58.22</v>
      </c>
      <c r="K341" s="6" t="n">
        <v>-5.25</v>
      </c>
      <c r="L341" s="6" t="n">
        <v>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45267.424641204</v>
      </c>
      <c r="B342" s="16" t="s">
        <v>84</v>
      </c>
      <c r="C342" s="16" t="s">
        <v>1065</v>
      </c>
      <c r="D342" s="16" t="s">
        <v>912</v>
      </c>
      <c r="E342" s="16" t="s">
        <v>85</v>
      </c>
      <c r="F342" s="16" t="s">
        <v>19</v>
      </c>
      <c r="G342" s="7" t="n">
        <v>3</v>
      </c>
      <c r="H342" s="6" t="n">
        <v>64.578</v>
      </c>
      <c r="I342" s="6" t="n">
        <v>-1937.34</v>
      </c>
      <c r="J342" s="6" t="n">
        <v>-64.17</v>
      </c>
      <c r="K342" s="6" t="n">
        <v>-5.82</v>
      </c>
      <c r="L342" s="6" t="n">
        <v>0</v>
      </c>
      <c r="M342" s="6" t="s">
        <f>=I342+J342+K342+L342</f>
      </c>
      <c r="N342" s="6"/>
      <c r="O342" s="16"/>
    </row>
    <row collapsed="false" customFormat="false" customHeight="false" hidden="false" ht="12.1" outlineLevel="0" r="343">
      <c r="A343" s="20" t="n">
        <v>45267.425034722</v>
      </c>
      <c r="B343" s="16" t="s">
        <v>94</v>
      </c>
      <c r="C343" s="16" t="s">
        <v>1107</v>
      </c>
      <c r="D343" s="16" t="s">
        <v>912</v>
      </c>
      <c r="E343" s="16" t="s">
        <v>85</v>
      </c>
      <c r="F343" s="16" t="s">
        <v>19</v>
      </c>
      <c r="G343" s="7" t="n">
        <v>2</v>
      </c>
      <c r="H343" s="6" t="n">
        <v>65.669</v>
      </c>
      <c r="I343" s="6" t="n">
        <v>-1313.38</v>
      </c>
      <c r="J343" s="6" t="n">
        <v>-0.77999999999997</v>
      </c>
      <c r="K343" s="6" t="n">
        <v>-3.94</v>
      </c>
      <c r="L343" s="6" t="n">
        <v>0</v>
      </c>
      <c r="M343" s="6" t="s">
        <f>=I343+J343+K343+L343</f>
      </c>
      <c r="N343" s="6"/>
      <c r="O343" s="16"/>
    </row>
    <row collapsed="false" customFormat="false" customHeight="false" hidden="false" ht="12.1" outlineLevel="0" r="344">
      <c r="A344" s="20" t="n">
        <v>45267.425474537</v>
      </c>
      <c r="B344" s="16" t="s">
        <v>106</v>
      </c>
      <c r="C344" s="16" t="s">
        <v>1100</v>
      </c>
      <c r="D344" s="16" t="s">
        <v>912</v>
      </c>
      <c r="E344" s="16" t="s">
        <v>85</v>
      </c>
      <c r="F344" s="16" t="s">
        <v>19</v>
      </c>
      <c r="G344" s="7" t="n">
        <v>2</v>
      </c>
      <c r="H344" s="6" t="n">
        <v>71.349</v>
      </c>
      <c r="I344" s="6" t="n">
        <v>-1426.98</v>
      </c>
      <c r="J344" s="6" t="n">
        <v>-27.42</v>
      </c>
      <c r="K344" s="6" t="n">
        <v>-4.28</v>
      </c>
      <c r="L344" s="6" t="n">
        <v>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0" t="n">
        <v>45267.426655093</v>
      </c>
      <c r="B345" s="16" t="s">
        <v>103</v>
      </c>
      <c r="C345" s="16" t="s">
        <v>1061</v>
      </c>
      <c r="D345" s="16" t="s">
        <v>912</v>
      </c>
      <c r="E345" s="16" t="s">
        <v>85</v>
      </c>
      <c r="F345" s="16" t="s">
        <v>19</v>
      </c>
      <c r="G345" s="7" t="n">
        <v>1</v>
      </c>
      <c r="H345" s="6" t="n">
        <v>72.27</v>
      </c>
      <c r="I345" s="6" t="n">
        <v>-722.7</v>
      </c>
      <c r="J345" s="6" t="n">
        <v>-12.77</v>
      </c>
      <c r="K345" s="6" t="n">
        <v>-2.17</v>
      </c>
      <c r="L345" s="6" t="n">
        <v>0</v>
      </c>
      <c r="M345" s="6" t="s">
        <f>=I345+J345+K345+L345</f>
      </c>
      <c r="N345" s="6"/>
      <c r="O345" s="16"/>
    </row>
    <row collapsed="false" customFormat="false" customHeight="false" hidden="false" ht="12.1" outlineLevel="0" r="346">
      <c r="A346" s="21" t="n">
        <v>45268.514965278</v>
      </c>
      <c r="B346" s="22" t="s">
        <v>1063</v>
      </c>
      <c r="C346" s="22" t="s">
        <v>1150</v>
      </c>
      <c r="D346" s="22" t="s">
        <v>1063</v>
      </c>
      <c r="E346" s="22" t="s">
        <v>1063</v>
      </c>
      <c r="F346" s="22" t="s">
        <v>19</v>
      </c>
      <c r="G346" s="23" t="n">
        <v>1</v>
      </c>
      <c r="H346" s="24" t="n">
        <v>1</v>
      </c>
      <c r="I346" s="24" t="n">
        <v>389.4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4"/>
      <c r="O346" s="22"/>
    </row>
    <row collapsed="false" customFormat="false" customHeight="false" hidden="false" ht="12.1" outlineLevel="0" r="347">
      <c r="A347" s="21" t="n">
        <v>45268.545138889</v>
      </c>
      <c r="B347" s="22" t="s">
        <v>1063</v>
      </c>
      <c r="C347" s="22" t="s">
        <v>1187</v>
      </c>
      <c r="D347" s="22" t="s">
        <v>1063</v>
      </c>
      <c r="E347" s="22" t="s">
        <v>1063</v>
      </c>
      <c r="F347" s="22" t="s">
        <v>19</v>
      </c>
      <c r="G347" s="23" t="n">
        <v>1</v>
      </c>
      <c r="H347" s="24" t="n">
        <v>1</v>
      </c>
      <c r="I347" s="24" t="n">
        <v>135.33</v>
      </c>
      <c r="J347" s="24" t="n">
        <v>0</v>
      </c>
      <c r="K347" s="24" t="n">
        <v>0</v>
      </c>
      <c r="L347" s="24" t="n">
        <v>0</v>
      </c>
      <c r="M347" s="6" t="s">
        <f>=I347+J347+K347+L347</f>
      </c>
      <c r="N347" s="24"/>
      <c r="O347" s="22"/>
    </row>
    <row collapsed="false" customFormat="false" customHeight="false" hidden="false" ht="12.1" outlineLevel="0" r="348">
      <c r="A348" s="21" t="n">
        <v>45268.741493056</v>
      </c>
      <c r="B348" s="22" t="s">
        <v>1063</v>
      </c>
      <c r="C348" s="22" t="s">
        <v>1106</v>
      </c>
      <c r="D348" s="22" t="s">
        <v>1063</v>
      </c>
      <c r="E348" s="22" t="s">
        <v>1063</v>
      </c>
      <c r="F348" s="22" t="s">
        <v>19</v>
      </c>
      <c r="G348" s="23" t="n">
        <v>1</v>
      </c>
      <c r="H348" s="24" t="n">
        <v>1</v>
      </c>
      <c r="I348" s="24" t="n">
        <v>19.87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1" t="n">
        <v>45268.742384259</v>
      </c>
      <c r="B349" s="22" t="s">
        <v>1063</v>
      </c>
      <c r="C349" s="22" t="s">
        <v>1149</v>
      </c>
      <c r="D349" s="22" t="s">
        <v>1063</v>
      </c>
      <c r="E349" s="22" t="s">
        <v>1063</v>
      </c>
      <c r="F349" s="22" t="s">
        <v>19</v>
      </c>
      <c r="G349" s="23" t="n">
        <v>1</v>
      </c>
      <c r="H349" s="24" t="n">
        <v>1</v>
      </c>
      <c r="I349" s="24" t="n">
        <v>32.66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4"/>
      <c r="O349" s="22"/>
    </row>
    <row collapsed="false" customFormat="false" customHeight="false" hidden="false" ht="12.1" outlineLevel="0" r="350">
      <c r="A350" s="21" t="n">
        <v>45273.373298611</v>
      </c>
      <c r="B350" s="22" t="s">
        <v>1063</v>
      </c>
      <c r="C350" s="22" t="s">
        <v>1151</v>
      </c>
      <c r="D350" s="22" t="s">
        <v>1063</v>
      </c>
      <c r="E350" s="22" t="s">
        <v>1063</v>
      </c>
      <c r="F350" s="22" t="s">
        <v>19</v>
      </c>
      <c r="G350" s="23" t="n">
        <v>1</v>
      </c>
      <c r="H350" s="24" t="n">
        <v>1</v>
      </c>
      <c r="I350" s="24" t="n">
        <v>31.3</v>
      </c>
      <c r="J350" s="24" t="n">
        <v>0</v>
      </c>
      <c r="K350" s="24" t="n">
        <v>0</v>
      </c>
      <c r="L350" s="24" t="n">
        <v>0</v>
      </c>
      <c r="M350" s="6" t="s">
        <f>=I350+J350+K350+L350</f>
      </c>
      <c r="N350" s="24"/>
      <c r="O350" s="22"/>
    </row>
    <row collapsed="false" customFormat="false" customHeight="false" hidden="false" ht="12.1" outlineLevel="0" r="351">
      <c r="A351" s="21" t="n">
        <v>45273.373958333</v>
      </c>
      <c r="B351" s="22" t="s">
        <v>1073</v>
      </c>
      <c r="C351" s="22" t="s">
        <v>1188</v>
      </c>
      <c r="D351" s="22" t="s">
        <v>1073</v>
      </c>
      <c r="E351" s="22" t="s">
        <v>1073</v>
      </c>
      <c r="F351" s="22" t="s">
        <v>19</v>
      </c>
      <c r="G351" s="23" t="n">
        <v>1</v>
      </c>
      <c r="H351" s="24" t="n">
        <v>1</v>
      </c>
      <c r="I351" s="24" t="n">
        <v>35</v>
      </c>
      <c r="J351" s="24" t="n">
        <v>0</v>
      </c>
      <c r="K351" s="24" t="n">
        <v>0</v>
      </c>
      <c r="L351" s="24" t="n">
        <v>0</v>
      </c>
      <c r="M351" s="6" t="s">
        <f>=I351+J351+K351+L351</f>
      </c>
      <c r="N351" s="24"/>
      <c r="O351" s="22"/>
    </row>
    <row collapsed="false" customFormat="false" customHeight="false" hidden="false" ht="12.1" outlineLevel="0" r="352">
      <c r="A352" s="21" t="n">
        <v>45278.504375</v>
      </c>
      <c r="B352" s="22" t="s">
        <v>1063</v>
      </c>
      <c r="C352" s="22" t="s">
        <v>1189</v>
      </c>
      <c r="D352" s="22" t="s">
        <v>1063</v>
      </c>
      <c r="E352" s="22" t="s">
        <v>1063</v>
      </c>
      <c r="F352" s="22" t="s">
        <v>19</v>
      </c>
      <c r="G352" s="23" t="n">
        <v>1</v>
      </c>
      <c r="H352" s="24" t="n">
        <v>1</v>
      </c>
      <c r="I352" s="24" t="n">
        <v>108.93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4"/>
      <c r="O352" s="22"/>
    </row>
    <row collapsed="false" customFormat="false" customHeight="false" hidden="false" ht="12.1" outlineLevel="0" r="353">
      <c r="A353" s="25" t="n">
        <v>45278.504375</v>
      </c>
      <c r="B353" s="26" t="s">
        <v>1089</v>
      </c>
      <c r="C353" s="26" t="s">
        <v>1190</v>
      </c>
      <c r="D353" s="26" t="s">
        <v>1089</v>
      </c>
      <c r="E353" s="26" t="s">
        <v>1089</v>
      </c>
      <c r="F353" s="26" t="s">
        <v>19</v>
      </c>
      <c r="G353" s="27" t="n">
        <v>1</v>
      </c>
      <c r="H353" s="28" t="n">
        <v>-14</v>
      </c>
      <c r="I353" s="28" t="n">
        <v>-14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1" t="n">
        <v>45281.695243056</v>
      </c>
      <c r="B354" s="22" t="s">
        <v>1063</v>
      </c>
      <c r="C354" s="22" t="s">
        <v>1113</v>
      </c>
      <c r="D354" s="22" t="s">
        <v>1063</v>
      </c>
      <c r="E354" s="22" t="s">
        <v>1063</v>
      </c>
      <c r="F354" s="22" t="s">
        <v>19</v>
      </c>
      <c r="G354" s="23" t="n">
        <v>1</v>
      </c>
      <c r="H354" s="24" t="n">
        <v>1</v>
      </c>
      <c r="I354" s="24" t="n">
        <v>131.94</v>
      </c>
      <c r="J354" s="24" t="n">
        <v>0</v>
      </c>
      <c r="K354" s="24" t="n">
        <v>0</v>
      </c>
      <c r="L354" s="24" t="n">
        <v>0</v>
      </c>
      <c r="M354" s="6" t="s">
        <f>=I354+J354+K354+L354</f>
      </c>
      <c r="N354" s="24"/>
      <c r="O354" s="22"/>
    </row>
    <row collapsed="false" customFormat="false" customHeight="false" hidden="false" ht="12.1" outlineLevel="0" r="355">
      <c r="A355" s="21" t="n">
        <v>45285.746041667</v>
      </c>
      <c r="B355" s="22" t="s">
        <v>1063</v>
      </c>
      <c r="C355" s="22" t="s">
        <v>1174</v>
      </c>
      <c r="D355" s="22" t="s">
        <v>1063</v>
      </c>
      <c r="E355" s="22" t="s">
        <v>1063</v>
      </c>
      <c r="F355" s="22" t="s">
        <v>19</v>
      </c>
      <c r="G355" s="23" t="n">
        <v>1</v>
      </c>
      <c r="H355" s="24" t="n">
        <v>1</v>
      </c>
      <c r="I355" s="24" t="n">
        <v>25.92</v>
      </c>
      <c r="J355" s="24" t="n">
        <v>0</v>
      </c>
      <c r="K355" s="24" t="n">
        <v>0</v>
      </c>
      <c r="L355" s="24" t="n">
        <v>0</v>
      </c>
      <c r="M355" s="6" t="s">
        <f>=I355+J355+K355+L355</f>
      </c>
      <c r="N355" s="24"/>
      <c r="O355" s="22"/>
    </row>
    <row collapsed="false" customFormat="false" customHeight="false" hidden="false" ht="12.1" outlineLevel="0" r="356">
      <c r="A356" s="21" t="n">
        <v>45288.288020833</v>
      </c>
      <c r="B356" s="22" t="s">
        <v>1073</v>
      </c>
      <c r="C356" s="22" t="s">
        <v>1175</v>
      </c>
      <c r="D356" s="22" t="s">
        <v>1073</v>
      </c>
      <c r="E356" s="22" t="s">
        <v>1073</v>
      </c>
      <c r="F356" s="22" t="s">
        <v>19</v>
      </c>
      <c r="G356" s="23" t="n">
        <v>1</v>
      </c>
      <c r="H356" s="24" t="n">
        <v>1</v>
      </c>
      <c r="I356" s="24" t="n">
        <v>75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4"/>
      <c r="O356" s="22"/>
    </row>
    <row collapsed="false" customFormat="false" customHeight="false" hidden="false" ht="12.1" outlineLevel="0" r="357">
      <c r="A357" s="21" t="n">
        <v>45288.288761574</v>
      </c>
      <c r="B357" s="22" t="s">
        <v>1063</v>
      </c>
      <c r="C357" s="22" t="s">
        <v>1176</v>
      </c>
      <c r="D357" s="22" t="s">
        <v>1063</v>
      </c>
      <c r="E357" s="22" t="s">
        <v>1063</v>
      </c>
      <c r="F357" s="22" t="s">
        <v>19</v>
      </c>
      <c r="G357" s="23" t="n">
        <v>1</v>
      </c>
      <c r="H357" s="24" t="n">
        <v>1</v>
      </c>
      <c r="I357" s="24" t="n">
        <v>19.63</v>
      </c>
      <c r="J357" s="24" t="n">
        <v>0</v>
      </c>
      <c r="K357" s="24" t="n">
        <v>0</v>
      </c>
      <c r="L357" s="24" t="n">
        <v>0</v>
      </c>
      <c r="M357" s="6" t="s">
        <f>=I357+J357+K357+L357</f>
      </c>
      <c r="N357" s="24"/>
      <c r="O357" s="22"/>
    </row>
    <row collapsed="false" customFormat="false" customHeight="false" hidden="false" ht="12.1" outlineLevel="0" r="358">
      <c r="A358" s="21" t="n">
        <v>45300.855428241</v>
      </c>
      <c r="B358" s="22" t="s">
        <v>1063</v>
      </c>
      <c r="C358" s="22" t="s">
        <v>1191</v>
      </c>
      <c r="D358" s="22" t="s">
        <v>1063</v>
      </c>
      <c r="E358" s="22" t="s">
        <v>1063</v>
      </c>
      <c r="F358" s="22" t="s">
        <v>19</v>
      </c>
      <c r="G358" s="23" t="n">
        <v>1</v>
      </c>
      <c r="H358" s="24" t="n">
        <v>1</v>
      </c>
      <c r="I358" s="24" t="n">
        <v>65.82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2"/>
    </row>
    <row collapsed="false" customFormat="false" customHeight="false" hidden="false" ht="12.1" outlineLevel="0" r="359">
      <c r="A359" s="29" t="n">
        <v>45301.635613426</v>
      </c>
      <c r="B359" s="30" t="s">
        <v>920</v>
      </c>
      <c r="C359" s="30" t="s">
        <v>1075</v>
      </c>
      <c r="D359" s="30" t="s">
        <v>938</v>
      </c>
      <c r="E359" s="30" t="s">
        <v>17</v>
      </c>
      <c r="F359" s="30" t="s">
        <v>19</v>
      </c>
      <c r="G359" s="31" t="n">
        <v>-1</v>
      </c>
      <c r="H359" s="32" t="n">
        <v>314.5</v>
      </c>
      <c r="I359" s="32" t="n">
        <v>314.5</v>
      </c>
      <c r="J359" s="32" t="n">
        <v>0</v>
      </c>
      <c r="K359" s="32" t="n">
        <v>-0.94</v>
      </c>
      <c r="L359" s="32" t="n">
        <v>0</v>
      </c>
      <c r="M359" s="6" t="s">
        <f>=I359+J359+K359+L359</f>
      </c>
      <c r="N359" s="32"/>
      <c r="O359" s="30"/>
    </row>
    <row collapsed="false" customFormat="false" customHeight="false" hidden="false" ht="12.1" outlineLevel="0" r="360">
      <c r="A360" s="21" t="n">
        <v>45302.745868056</v>
      </c>
      <c r="B360" s="22" t="s">
        <v>1063</v>
      </c>
      <c r="C360" s="22" t="s">
        <v>1072</v>
      </c>
      <c r="D360" s="22" t="s">
        <v>1063</v>
      </c>
      <c r="E360" s="22" t="s">
        <v>1063</v>
      </c>
      <c r="F360" s="22" t="s">
        <v>19</v>
      </c>
      <c r="G360" s="23" t="n">
        <v>1</v>
      </c>
      <c r="H360" s="24" t="n">
        <v>1</v>
      </c>
      <c r="I360" s="24" t="n">
        <v>13.96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2"/>
    </row>
    <row collapsed="false" customFormat="false" customHeight="false" hidden="false" ht="12.1" outlineLevel="0" r="361">
      <c r="A361" s="21" t="n">
        <v>45303.532418981</v>
      </c>
      <c r="B361" s="22" t="s">
        <v>1056</v>
      </c>
      <c r="C361" s="22" t="s">
        <v>350</v>
      </c>
      <c r="D361" s="22" t="s">
        <v>1056</v>
      </c>
      <c r="E361" s="22" t="s">
        <v>1056</v>
      </c>
      <c r="F361" s="22" t="s">
        <v>19</v>
      </c>
      <c r="G361" s="23" t="n">
        <v>1</v>
      </c>
      <c r="H361" s="24" t="n">
        <v>1</v>
      </c>
      <c r="I361" s="24" t="n">
        <v>5800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1" t="n">
        <v>45303.533240741</v>
      </c>
      <c r="B362" s="22" t="s">
        <v>1056</v>
      </c>
      <c r="C362" s="22" t="s">
        <v>350</v>
      </c>
      <c r="D362" s="22" t="s">
        <v>1056</v>
      </c>
      <c r="E362" s="22" t="s">
        <v>1056</v>
      </c>
      <c r="F362" s="22" t="s">
        <v>19</v>
      </c>
      <c r="G362" s="23" t="n">
        <v>1</v>
      </c>
      <c r="H362" s="24" t="n">
        <v>1</v>
      </c>
      <c r="I362" s="24" t="n">
        <v>5000</v>
      </c>
      <c r="J362" s="24" t="n">
        <v>0</v>
      </c>
      <c r="K362" s="24" t="n">
        <v>0</v>
      </c>
      <c r="L362" s="24" t="n">
        <v>0</v>
      </c>
      <c r="M362" s="6" t="s">
        <f>=I362+J362+K362+L362</f>
      </c>
      <c r="N362" s="24"/>
      <c r="O362" s="22"/>
    </row>
    <row collapsed="false" customFormat="false" customHeight="false" hidden="false" ht="12.1" outlineLevel="0" r="363">
      <c r="A363" s="20" t="n">
        <v>45303.540011574</v>
      </c>
      <c r="B363" s="16" t="s">
        <v>88</v>
      </c>
      <c r="C363" s="16" t="s">
        <v>1069</v>
      </c>
      <c r="D363" s="16" t="s">
        <v>912</v>
      </c>
      <c r="E363" s="16" t="s">
        <v>85</v>
      </c>
      <c r="F363" s="16" t="s">
        <v>19</v>
      </c>
      <c r="G363" s="7" t="n">
        <v>2</v>
      </c>
      <c r="H363" s="6" t="n">
        <v>104.499</v>
      </c>
      <c r="I363" s="6" t="n">
        <v>-2089.98</v>
      </c>
      <c r="J363" s="6" t="n">
        <v>-18.8</v>
      </c>
      <c r="K363" s="6" t="n">
        <v>-6.27</v>
      </c>
      <c r="L363" s="6" t="n">
        <v>0</v>
      </c>
      <c r="M363" s="6" t="s">
        <f>=I363+J363+K363+L363</f>
      </c>
      <c r="N363" s="6"/>
      <c r="O363" s="16"/>
    </row>
    <row collapsed="false" customFormat="false" customHeight="false" hidden="false" ht="12.1" outlineLevel="0" r="364">
      <c r="A364" s="20" t="n">
        <v>45303.540405093</v>
      </c>
      <c r="B364" s="16" t="s">
        <v>112</v>
      </c>
      <c r="C364" s="16" t="s">
        <v>1110</v>
      </c>
      <c r="D364" s="16" t="s">
        <v>912</v>
      </c>
      <c r="E364" s="16" t="s">
        <v>85</v>
      </c>
      <c r="F364" s="16" t="s">
        <v>19</v>
      </c>
      <c r="G364" s="7" t="n">
        <v>2</v>
      </c>
      <c r="H364" s="6" t="n">
        <v>68.299</v>
      </c>
      <c r="I364" s="6" t="n">
        <v>-1365.98</v>
      </c>
      <c r="J364" s="6" t="n">
        <v>-58.3</v>
      </c>
      <c r="K364" s="6" t="n">
        <v>-4.1</v>
      </c>
      <c r="L364" s="6" t="n">
        <v>0</v>
      </c>
      <c r="M364" s="6" t="s">
        <f>=I364+J364+K364+L364</f>
      </c>
      <c r="N364" s="6"/>
      <c r="O364" s="16"/>
    </row>
    <row collapsed="false" customFormat="false" customHeight="false" hidden="false" ht="12.1" outlineLevel="0" r="365">
      <c r="A365" s="20" t="n">
        <v>45303.540625</v>
      </c>
      <c r="B365" s="16" t="s">
        <v>106</v>
      </c>
      <c r="C365" s="16" t="s">
        <v>1100</v>
      </c>
      <c r="D365" s="16" t="s">
        <v>912</v>
      </c>
      <c r="E365" s="16" t="s">
        <v>85</v>
      </c>
      <c r="F365" s="16" t="s">
        <v>19</v>
      </c>
      <c r="G365" s="7" t="n">
        <v>2</v>
      </c>
      <c r="H365" s="6" t="n">
        <v>70.697</v>
      </c>
      <c r="I365" s="6" t="n">
        <v>-1413.94</v>
      </c>
      <c r="J365" s="6" t="n">
        <v>-43.46</v>
      </c>
      <c r="K365" s="6" t="n">
        <v>-4.24</v>
      </c>
      <c r="L365" s="6" t="n">
        <v>0</v>
      </c>
      <c r="M365" s="6" t="s">
        <f>=I365+J365+K365+L365</f>
      </c>
      <c r="N365" s="6"/>
      <c r="O365" s="16"/>
    </row>
    <row collapsed="false" customFormat="false" customHeight="false" hidden="false" ht="12.1" outlineLevel="0" r="366">
      <c r="A366" s="20" t="n">
        <v>45303.540844907</v>
      </c>
      <c r="B366" s="16" t="s">
        <v>94</v>
      </c>
      <c r="C366" s="16" t="s">
        <v>1107</v>
      </c>
      <c r="D366" s="16" t="s">
        <v>912</v>
      </c>
      <c r="E366" s="16" t="s">
        <v>85</v>
      </c>
      <c r="F366" s="16" t="s">
        <v>19</v>
      </c>
      <c r="G366" s="7" t="n">
        <v>2</v>
      </c>
      <c r="H366" s="6" t="n">
        <v>65</v>
      </c>
      <c r="I366" s="6" t="n">
        <v>-1300</v>
      </c>
      <c r="J366" s="6" t="n">
        <v>-15.56</v>
      </c>
      <c r="K366" s="6" t="n">
        <v>-3.9</v>
      </c>
      <c r="L366" s="6" t="n">
        <v>0</v>
      </c>
      <c r="M366" s="6" t="s">
        <f>=I366+J366+K366+L366</f>
      </c>
      <c r="N366" s="6"/>
      <c r="O366" s="16"/>
    </row>
    <row collapsed="false" customFormat="false" customHeight="false" hidden="false" ht="12.1" outlineLevel="0" r="367">
      <c r="A367" s="20" t="n">
        <v>45303.541122685</v>
      </c>
      <c r="B367" s="16" t="s">
        <v>91</v>
      </c>
      <c r="C367" s="16" t="s">
        <v>1167</v>
      </c>
      <c r="D367" s="16" t="s">
        <v>912</v>
      </c>
      <c r="E367" s="16" t="s">
        <v>85</v>
      </c>
      <c r="F367" s="16" t="s">
        <v>19</v>
      </c>
      <c r="G367" s="7" t="n">
        <v>2</v>
      </c>
      <c r="H367" s="6" t="n">
        <v>85.798</v>
      </c>
      <c r="I367" s="6" t="n">
        <v>-1715.96</v>
      </c>
      <c r="J367" s="6" t="n">
        <v>-21.48</v>
      </c>
      <c r="K367" s="6" t="n">
        <v>-5.15</v>
      </c>
      <c r="L367" s="6" t="n">
        <v>0</v>
      </c>
      <c r="M367" s="6" t="s">
        <f>=I367+J367+K367+L367</f>
      </c>
      <c r="N367" s="6"/>
      <c r="O367" s="16"/>
    </row>
    <row collapsed="false" customFormat="false" customHeight="false" hidden="false" ht="12.1" outlineLevel="0" r="368">
      <c r="A368" s="20" t="n">
        <v>45303.541550926</v>
      </c>
      <c r="B368" s="16" t="s">
        <v>118</v>
      </c>
      <c r="C368" s="16" t="s">
        <v>1192</v>
      </c>
      <c r="D368" s="16" t="s">
        <v>912</v>
      </c>
      <c r="E368" s="16" t="s">
        <v>85</v>
      </c>
      <c r="F368" s="16" t="s">
        <v>19</v>
      </c>
      <c r="G368" s="7" t="n">
        <v>2</v>
      </c>
      <c r="H368" s="6" t="n">
        <v>87.195</v>
      </c>
      <c r="I368" s="6" t="n">
        <v>-1743.9</v>
      </c>
      <c r="J368" s="6" t="n">
        <v>-24.46</v>
      </c>
      <c r="K368" s="6" t="n">
        <v>-5.23</v>
      </c>
      <c r="L368" s="6" t="n">
        <v>0</v>
      </c>
      <c r="M368" s="6" t="s">
        <f>=I368+J368+K368+L368</f>
      </c>
      <c r="N368" s="6"/>
      <c r="O368" s="16"/>
    </row>
    <row collapsed="false" customFormat="false" customHeight="false" hidden="false" ht="12.1" outlineLevel="0" r="369">
      <c r="A369" s="20" t="n">
        <v>45303.541782407</v>
      </c>
      <c r="B369" s="16" t="s">
        <v>130</v>
      </c>
      <c r="C369" s="16" t="s">
        <v>1193</v>
      </c>
      <c r="D369" s="16" t="s">
        <v>912</v>
      </c>
      <c r="E369" s="16" t="s">
        <v>85</v>
      </c>
      <c r="F369" s="16" t="s">
        <v>19</v>
      </c>
      <c r="G369" s="7" t="n">
        <v>2</v>
      </c>
      <c r="H369" s="6" t="n">
        <v>96.4</v>
      </c>
      <c r="I369" s="6" t="n">
        <v>-1928</v>
      </c>
      <c r="J369" s="6" t="n">
        <v>-50.56</v>
      </c>
      <c r="K369" s="6" t="n">
        <v>-5.78</v>
      </c>
      <c r="L369" s="6" t="n">
        <v>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21" t="n">
        <v>45309.388622685</v>
      </c>
      <c r="B370" s="22" t="s">
        <v>1063</v>
      </c>
      <c r="C370" s="22" t="s">
        <v>1194</v>
      </c>
      <c r="D370" s="22" t="s">
        <v>1063</v>
      </c>
      <c r="E370" s="22" t="s">
        <v>1063</v>
      </c>
      <c r="F370" s="22" t="s">
        <v>19</v>
      </c>
      <c r="G370" s="23" t="n">
        <v>1</v>
      </c>
      <c r="H370" s="24" t="n">
        <v>1</v>
      </c>
      <c r="I370" s="24" t="n">
        <v>44.88</v>
      </c>
      <c r="J370" s="24" t="n">
        <v>0</v>
      </c>
      <c r="K370" s="24" t="n">
        <v>0</v>
      </c>
      <c r="L370" s="24" t="n">
        <v>0</v>
      </c>
      <c r="M370" s="6" t="s">
        <f>=I370+J370+K370+L370</f>
      </c>
      <c r="N370" s="24"/>
      <c r="O370" s="22"/>
    </row>
    <row collapsed="false" customFormat="false" customHeight="false" hidden="false" ht="12.1" outlineLevel="0" r="371">
      <c r="A371" s="21" t="n">
        <v>45314.707534722</v>
      </c>
      <c r="B371" s="22" t="s">
        <v>1063</v>
      </c>
      <c r="C371" s="22" t="s">
        <v>1174</v>
      </c>
      <c r="D371" s="22" t="s">
        <v>1063</v>
      </c>
      <c r="E371" s="22" t="s">
        <v>1063</v>
      </c>
      <c r="F371" s="22" t="s">
        <v>19</v>
      </c>
      <c r="G371" s="23" t="n">
        <v>1</v>
      </c>
      <c r="H371" s="24" t="n">
        <v>1</v>
      </c>
      <c r="I371" s="24" t="n">
        <v>27.98</v>
      </c>
      <c r="J371" s="24" t="n">
        <v>0</v>
      </c>
      <c r="K371" s="24" t="n">
        <v>0</v>
      </c>
      <c r="L371" s="24" t="n">
        <v>0</v>
      </c>
      <c r="M371" s="6" t="s">
        <f>=I371+J371+K371+L371</f>
      </c>
      <c r="N371" s="24"/>
      <c r="O371" s="22"/>
    </row>
    <row collapsed="false" customFormat="false" customHeight="false" hidden="false" ht="12.1" outlineLevel="0" r="372">
      <c r="A372" s="21" t="n">
        <v>45315.496770833</v>
      </c>
      <c r="B372" s="22" t="s">
        <v>1063</v>
      </c>
      <c r="C372" s="22" t="s">
        <v>1195</v>
      </c>
      <c r="D372" s="22" t="s">
        <v>1063</v>
      </c>
      <c r="E372" s="22" t="s">
        <v>1063</v>
      </c>
      <c r="F372" s="22" t="s">
        <v>19</v>
      </c>
      <c r="G372" s="23" t="n">
        <v>1</v>
      </c>
      <c r="H372" s="24" t="n">
        <v>1</v>
      </c>
      <c r="I372" s="24" t="n">
        <v>34.28</v>
      </c>
      <c r="J372" s="24" t="n">
        <v>0</v>
      </c>
      <c r="K372" s="24" t="n">
        <v>0</v>
      </c>
      <c r="L372" s="24" t="n">
        <v>0</v>
      </c>
      <c r="M372" s="6" t="s">
        <f>=I372+J372+K372+L372</f>
      </c>
      <c r="N372" s="24"/>
      <c r="O372" s="22"/>
    </row>
    <row collapsed="false" customFormat="false" customHeight="false" hidden="false" ht="12.1" outlineLevel="0" r="373">
      <c r="A373" s="21" t="n">
        <v>45315.680023148</v>
      </c>
      <c r="B373" s="22" t="s">
        <v>1063</v>
      </c>
      <c r="C373" s="22" t="s">
        <v>1095</v>
      </c>
      <c r="D373" s="22" t="s">
        <v>1063</v>
      </c>
      <c r="E373" s="22" t="s">
        <v>1063</v>
      </c>
      <c r="F373" s="22" t="s">
        <v>19</v>
      </c>
      <c r="G373" s="23" t="n">
        <v>1</v>
      </c>
      <c r="H373" s="24" t="n">
        <v>1</v>
      </c>
      <c r="I373" s="24" t="n">
        <v>35.17</v>
      </c>
      <c r="J373" s="24" t="n">
        <v>0</v>
      </c>
      <c r="K373" s="24" t="n">
        <v>0</v>
      </c>
      <c r="L373" s="24" t="n">
        <v>0</v>
      </c>
      <c r="M373" s="6" t="s">
        <f>=I373+J373+K373+L373</f>
      </c>
      <c r="N373" s="24"/>
      <c r="O373" s="22"/>
    </row>
    <row collapsed="false" customFormat="false" customHeight="false" hidden="false" ht="12.1" outlineLevel="0" r="374">
      <c r="A374" s="25" t="n">
        <v>45315.680023148</v>
      </c>
      <c r="B374" s="26" t="s">
        <v>1089</v>
      </c>
      <c r="C374" s="26" t="s">
        <v>1094</v>
      </c>
      <c r="D374" s="26" t="s">
        <v>1089</v>
      </c>
      <c r="E374" s="26" t="s">
        <v>1089</v>
      </c>
      <c r="F374" s="26" t="s">
        <v>19</v>
      </c>
      <c r="G374" s="27" t="n">
        <v>1</v>
      </c>
      <c r="H374" s="28" t="n">
        <v>-5</v>
      </c>
      <c r="I374" s="28" t="n">
        <v>-5</v>
      </c>
      <c r="J374" s="28" t="n">
        <v>0</v>
      </c>
      <c r="K374" s="28" t="n">
        <v>0</v>
      </c>
      <c r="L374" s="28" t="n">
        <v>0</v>
      </c>
      <c r="M374" s="6" t="s">
        <f>=I374+J374+K374+L374</f>
      </c>
      <c r="N374" s="28"/>
      <c r="O374" s="26"/>
    </row>
    <row collapsed="false" customFormat="false" customHeight="false" hidden="false" ht="12.1" outlineLevel="0" r="375">
      <c r="A375" s="21" t="n">
        <v>45316.591030093</v>
      </c>
      <c r="B375" s="22" t="s">
        <v>1063</v>
      </c>
      <c r="C375" s="22" t="s">
        <v>1080</v>
      </c>
      <c r="D375" s="22" t="s">
        <v>1063</v>
      </c>
      <c r="E375" s="22" t="s">
        <v>1063</v>
      </c>
      <c r="F375" s="22" t="s">
        <v>19</v>
      </c>
      <c r="G375" s="23" t="n">
        <v>1</v>
      </c>
      <c r="H375" s="24" t="n">
        <v>1</v>
      </c>
      <c r="I375" s="24" t="n">
        <v>36.81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2"/>
    </row>
    <row collapsed="false" customFormat="false" customHeight="false" hidden="false" ht="12.1" outlineLevel="0" r="376">
      <c r="A376" s="21" t="n">
        <v>45316.76494213</v>
      </c>
      <c r="B376" s="22" t="s">
        <v>1063</v>
      </c>
      <c r="C376" s="22" t="s">
        <v>1160</v>
      </c>
      <c r="D376" s="22" t="s">
        <v>1063</v>
      </c>
      <c r="E376" s="22" t="s">
        <v>1063</v>
      </c>
      <c r="F376" s="22" t="s">
        <v>19</v>
      </c>
      <c r="G376" s="23" t="n">
        <v>1</v>
      </c>
      <c r="H376" s="24" t="n">
        <v>1</v>
      </c>
      <c r="I376" s="24" t="n">
        <v>43.38</v>
      </c>
      <c r="J376" s="24" t="n">
        <v>0</v>
      </c>
      <c r="K376" s="24" t="n">
        <v>0</v>
      </c>
      <c r="L376" s="24" t="n">
        <v>0</v>
      </c>
      <c r="M376" s="6" t="s">
        <f>=I376+J376+K376+L376</f>
      </c>
      <c r="N376" s="24"/>
      <c r="O376" s="22"/>
    </row>
    <row collapsed="false" customFormat="false" customHeight="false" hidden="false" ht="12.1" outlineLevel="0" r="377">
      <c r="A377" s="21" t="n">
        <v>45316.778333333</v>
      </c>
      <c r="B377" s="22" t="s">
        <v>1063</v>
      </c>
      <c r="C377" s="22" t="s">
        <v>1180</v>
      </c>
      <c r="D377" s="22" t="s">
        <v>1063</v>
      </c>
      <c r="E377" s="22" t="s">
        <v>1063</v>
      </c>
      <c r="F377" s="22" t="s">
        <v>19</v>
      </c>
      <c r="G377" s="23" t="n">
        <v>1</v>
      </c>
      <c r="H377" s="24" t="n">
        <v>1</v>
      </c>
      <c r="I377" s="24" t="n">
        <v>40.7</v>
      </c>
      <c r="J377" s="24" t="n">
        <v>0</v>
      </c>
      <c r="K377" s="24" t="n">
        <v>0</v>
      </c>
      <c r="L377" s="24" t="n">
        <v>0</v>
      </c>
      <c r="M377" s="6" t="s">
        <f>=I377+J377+K377+L377</f>
      </c>
      <c r="N377" s="24"/>
      <c r="O377" s="22"/>
    </row>
    <row collapsed="false" customFormat="false" customHeight="false" hidden="false" ht="12.1" outlineLevel="0" r="378">
      <c r="A378" s="21" t="n">
        <v>45320.638599537</v>
      </c>
      <c r="B378" s="22" t="s">
        <v>1063</v>
      </c>
      <c r="C378" s="22" t="s">
        <v>1196</v>
      </c>
      <c r="D378" s="22" t="s">
        <v>1063</v>
      </c>
      <c r="E378" s="22" t="s">
        <v>1063</v>
      </c>
      <c r="F378" s="22" t="s">
        <v>19</v>
      </c>
      <c r="G378" s="23" t="n">
        <v>1</v>
      </c>
      <c r="H378" s="24" t="n">
        <v>1</v>
      </c>
      <c r="I378" s="24" t="n">
        <v>47.12</v>
      </c>
      <c r="J378" s="24" t="n">
        <v>0</v>
      </c>
      <c r="K378" s="24" t="n">
        <v>0</v>
      </c>
      <c r="L378" s="24" t="n">
        <v>0</v>
      </c>
      <c r="M378" s="6" t="s">
        <f>=I378+J378+K378+L378</f>
      </c>
      <c r="N378" s="24"/>
      <c r="O378" s="22"/>
    </row>
    <row collapsed="false" customFormat="false" customHeight="false" hidden="false" ht="12.1" outlineLevel="0" r="379">
      <c r="A379" s="21" t="n">
        <v>45323.363611111</v>
      </c>
      <c r="B379" s="22" t="s">
        <v>1063</v>
      </c>
      <c r="C379" s="22" t="s">
        <v>1117</v>
      </c>
      <c r="D379" s="22" t="s">
        <v>1063</v>
      </c>
      <c r="E379" s="22" t="s">
        <v>1063</v>
      </c>
      <c r="F379" s="22" t="s">
        <v>19</v>
      </c>
      <c r="G379" s="23" t="n">
        <v>1</v>
      </c>
      <c r="H379" s="24" t="n">
        <v>1</v>
      </c>
      <c r="I379" s="24" t="n">
        <v>28.22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4"/>
      <c r="O379" s="22"/>
    </row>
    <row collapsed="false" customFormat="false" customHeight="false" hidden="false" ht="12.1" outlineLevel="0" r="380">
      <c r="A380" s="21" t="n">
        <v>45323.555613426</v>
      </c>
      <c r="B380" s="22" t="s">
        <v>1063</v>
      </c>
      <c r="C380" s="22" t="s">
        <v>1081</v>
      </c>
      <c r="D380" s="22" t="s">
        <v>1063</v>
      </c>
      <c r="E380" s="22" t="s">
        <v>1063</v>
      </c>
      <c r="F380" s="22" t="s">
        <v>19</v>
      </c>
      <c r="G380" s="23" t="n">
        <v>1</v>
      </c>
      <c r="H380" s="24" t="n">
        <v>1</v>
      </c>
      <c r="I380" s="24" t="n">
        <v>608.4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4"/>
      <c r="O380" s="22"/>
    </row>
    <row collapsed="false" customFormat="false" customHeight="false" hidden="false" ht="12.1" outlineLevel="0" r="381">
      <c r="A381" s="21" t="n">
        <v>45323.564907407</v>
      </c>
      <c r="B381" s="22" t="s">
        <v>1063</v>
      </c>
      <c r="C381" s="22" t="s">
        <v>1181</v>
      </c>
      <c r="D381" s="22" t="s">
        <v>1063</v>
      </c>
      <c r="E381" s="22" t="s">
        <v>1063</v>
      </c>
      <c r="F381" s="22" t="s">
        <v>19</v>
      </c>
      <c r="G381" s="23" t="n">
        <v>1</v>
      </c>
      <c r="H381" s="24" t="n">
        <v>1</v>
      </c>
      <c r="I381" s="24" t="n">
        <v>37.33</v>
      </c>
      <c r="J381" s="24" t="n">
        <v>0</v>
      </c>
      <c r="K381" s="24" t="n">
        <v>0</v>
      </c>
      <c r="L381" s="24" t="n">
        <v>0</v>
      </c>
      <c r="M381" s="6" t="s">
        <f>=I381+J381+K381+L381</f>
      </c>
      <c r="N381" s="24"/>
      <c r="O381" s="22"/>
    </row>
    <row collapsed="false" customFormat="false" customHeight="false" hidden="false" ht="12.1" outlineLevel="0" r="382">
      <c r="A382" s="21" t="n">
        <v>45323.606354167</v>
      </c>
      <c r="B382" s="22" t="s">
        <v>1063</v>
      </c>
      <c r="C382" s="22" t="s">
        <v>1118</v>
      </c>
      <c r="D382" s="22" t="s">
        <v>1063</v>
      </c>
      <c r="E382" s="22" t="s">
        <v>1063</v>
      </c>
      <c r="F382" s="22" t="s">
        <v>19</v>
      </c>
      <c r="G382" s="23" t="n">
        <v>1</v>
      </c>
      <c r="H382" s="24" t="n">
        <v>1</v>
      </c>
      <c r="I382" s="24" t="n">
        <v>42.53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4"/>
      <c r="O382" s="22"/>
    </row>
    <row collapsed="false" customFormat="false" customHeight="false" hidden="false" ht="12.1" outlineLevel="0" r="383">
      <c r="A383" s="21" t="n">
        <v>45324.4040625</v>
      </c>
      <c r="B383" s="22" t="s">
        <v>1056</v>
      </c>
      <c r="C383" s="22" t="s">
        <v>350</v>
      </c>
      <c r="D383" s="22" t="s">
        <v>1056</v>
      </c>
      <c r="E383" s="22" t="s">
        <v>1056</v>
      </c>
      <c r="F383" s="22" t="s">
        <v>19</v>
      </c>
      <c r="G383" s="23" t="n">
        <v>1</v>
      </c>
      <c r="H383" s="24" t="n">
        <v>1</v>
      </c>
      <c r="I383" s="24" t="n">
        <v>11200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4"/>
      <c r="O383" s="22"/>
    </row>
    <row collapsed="false" customFormat="false" customHeight="false" hidden="false" ht="12.1" outlineLevel="0" r="384">
      <c r="A384" s="20" t="n">
        <v>45324.426319444</v>
      </c>
      <c r="B384" s="16" t="s">
        <v>16</v>
      </c>
      <c r="C384" s="16" t="s">
        <v>1112</v>
      </c>
      <c r="D384" s="16" t="s">
        <v>912</v>
      </c>
      <c r="E384" s="16" t="s">
        <v>17</v>
      </c>
      <c r="F384" s="16" t="s">
        <v>19</v>
      </c>
      <c r="G384" s="7" t="n">
        <v>10</v>
      </c>
      <c r="H384" s="6" t="n">
        <v>276.83</v>
      </c>
      <c r="I384" s="6" t="n">
        <v>-2768.3</v>
      </c>
      <c r="J384" s="6" t="n">
        <v>0</v>
      </c>
      <c r="K384" s="6" t="n">
        <v>-8.3</v>
      </c>
      <c r="L384" s="6" t="n">
        <v>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0" t="n">
        <v>45324.427280093</v>
      </c>
      <c r="B385" s="16" t="s">
        <v>16</v>
      </c>
      <c r="C385" s="16" t="s">
        <v>1112</v>
      </c>
      <c r="D385" s="16" t="s">
        <v>912</v>
      </c>
      <c r="E385" s="16" t="s">
        <v>17</v>
      </c>
      <c r="F385" s="16" t="s">
        <v>19</v>
      </c>
      <c r="G385" s="7" t="n">
        <v>10</v>
      </c>
      <c r="H385" s="6" t="n">
        <v>276.55</v>
      </c>
      <c r="I385" s="6" t="n">
        <v>-2765.5</v>
      </c>
      <c r="J385" s="6" t="n">
        <v>0</v>
      </c>
      <c r="K385" s="6" t="n">
        <v>-8.3</v>
      </c>
      <c r="L385" s="6" t="n">
        <v>0</v>
      </c>
      <c r="M385" s="6" t="s">
        <f>=I385+J385+K385+L385</f>
      </c>
      <c r="N385" s="6"/>
      <c r="O385" s="16"/>
    </row>
    <row collapsed="false" customFormat="false" customHeight="false" hidden="false" ht="12.1" outlineLevel="0" r="386">
      <c r="A386" s="20" t="n">
        <v>45324.427696759</v>
      </c>
      <c r="B386" s="16" t="s">
        <v>16</v>
      </c>
      <c r="C386" s="16" t="s">
        <v>1112</v>
      </c>
      <c r="D386" s="16" t="s">
        <v>912</v>
      </c>
      <c r="E386" s="16" t="s">
        <v>17</v>
      </c>
      <c r="F386" s="16" t="s">
        <v>19</v>
      </c>
      <c r="G386" s="7" t="n">
        <v>10</v>
      </c>
      <c r="H386" s="6" t="n">
        <v>276.67</v>
      </c>
      <c r="I386" s="6" t="n">
        <v>-2766.7</v>
      </c>
      <c r="J386" s="6" t="n">
        <v>0</v>
      </c>
      <c r="K386" s="6" t="n">
        <v>-8.3</v>
      </c>
      <c r="L386" s="6" t="n">
        <v>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0" t="n">
        <v>45324.429201389</v>
      </c>
      <c r="B387" s="16" t="s">
        <v>48</v>
      </c>
      <c r="C387" s="16" t="s">
        <v>1076</v>
      </c>
      <c r="D387" s="16" t="s">
        <v>912</v>
      </c>
      <c r="E387" s="16" t="s">
        <v>17</v>
      </c>
      <c r="F387" s="16" t="s">
        <v>19</v>
      </c>
      <c r="G387" s="7" t="n">
        <v>1</v>
      </c>
      <c r="H387" s="6" t="n">
        <v>726.1</v>
      </c>
      <c r="I387" s="6" t="n">
        <v>-726.1</v>
      </c>
      <c r="J387" s="6" t="n">
        <v>0</v>
      </c>
      <c r="K387" s="6" t="n">
        <v>-2.18</v>
      </c>
      <c r="L387" s="6" t="n">
        <v>0</v>
      </c>
      <c r="M387" s="6" t="s">
        <f>=I387+J387+K387+L387</f>
      </c>
      <c r="N387" s="6"/>
      <c r="O387" s="16"/>
    </row>
    <row collapsed="false" customFormat="false" customHeight="false" hidden="false" ht="12.1" outlineLevel="0" r="388">
      <c r="A388" s="20" t="n">
        <v>45324.429594907</v>
      </c>
      <c r="B388" s="16" t="s">
        <v>42</v>
      </c>
      <c r="C388" s="16" t="s">
        <v>1077</v>
      </c>
      <c r="D388" s="16" t="s">
        <v>912</v>
      </c>
      <c r="E388" s="16" t="s">
        <v>17</v>
      </c>
      <c r="F388" s="16" t="s">
        <v>19</v>
      </c>
      <c r="G388" s="7" t="n">
        <v>100</v>
      </c>
      <c r="H388" s="6" t="n">
        <v>4.053</v>
      </c>
      <c r="I388" s="6" t="n">
        <v>-405.3</v>
      </c>
      <c r="J388" s="6" t="n">
        <v>0</v>
      </c>
      <c r="K388" s="6" t="n">
        <v>-1.22</v>
      </c>
      <c r="L388" s="6" t="n">
        <v>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20" t="n">
        <v>45324.430717593</v>
      </c>
      <c r="B389" s="16" t="s">
        <v>51</v>
      </c>
      <c r="C389" s="16" t="s">
        <v>1071</v>
      </c>
      <c r="D389" s="16" t="s">
        <v>912</v>
      </c>
      <c r="E389" s="16" t="s">
        <v>17</v>
      </c>
      <c r="F389" s="16" t="s">
        <v>19</v>
      </c>
      <c r="G389" s="7" t="n">
        <v>10000</v>
      </c>
      <c r="H389" s="6" t="n">
        <v>0.02454</v>
      </c>
      <c r="I389" s="6" t="n">
        <v>-245.4</v>
      </c>
      <c r="J389" s="6" t="n">
        <v>0</v>
      </c>
      <c r="K389" s="6" t="n">
        <v>-0.74</v>
      </c>
      <c r="L389" s="6" t="n">
        <v>0</v>
      </c>
      <c r="M389" s="6" t="s">
        <f>=I389+J389+K389+L389</f>
      </c>
      <c r="N389" s="6"/>
      <c r="O389" s="16"/>
    </row>
    <row collapsed="false" customFormat="false" customHeight="false" hidden="false" ht="12.1" outlineLevel="0" r="390">
      <c r="A390" s="20" t="n">
        <v>45324.431180556</v>
      </c>
      <c r="B390" s="16" t="s">
        <v>62</v>
      </c>
      <c r="C390" s="16" t="s">
        <v>1134</v>
      </c>
      <c r="D390" s="16" t="s">
        <v>912</v>
      </c>
      <c r="E390" s="16" t="s">
        <v>17</v>
      </c>
      <c r="F390" s="16" t="s">
        <v>19</v>
      </c>
      <c r="G390" s="7" t="n">
        <v>10</v>
      </c>
      <c r="H390" s="6" t="n">
        <v>76.32</v>
      </c>
      <c r="I390" s="6" t="n">
        <v>-763.2</v>
      </c>
      <c r="J390" s="6" t="n">
        <v>0</v>
      </c>
      <c r="K390" s="6" t="n">
        <v>-2.29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0" t="n">
        <v>45324.43162037</v>
      </c>
      <c r="B391" s="16" t="s">
        <v>69</v>
      </c>
      <c r="C391" s="16" t="s">
        <v>1087</v>
      </c>
      <c r="D391" s="16" t="s">
        <v>912</v>
      </c>
      <c r="E391" s="16" t="s">
        <v>17</v>
      </c>
      <c r="F391" s="16" t="s">
        <v>19</v>
      </c>
      <c r="G391" s="7" t="n">
        <v>100</v>
      </c>
      <c r="H391" s="6" t="n">
        <v>7.807</v>
      </c>
      <c r="I391" s="6" t="n">
        <v>-780.7</v>
      </c>
      <c r="J391" s="6" t="n">
        <v>0</v>
      </c>
      <c r="K391" s="6" t="n">
        <v>-2.34</v>
      </c>
      <c r="L391" s="6" t="n">
        <v>0</v>
      </c>
      <c r="M391" s="6" t="s">
        <f>=I391+J391+K391+L391</f>
      </c>
      <c r="N391" s="6"/>
      <c r="O391" s="16"/>
    </row>
    <row collapsed="false" customFormat="false" customHeight="false" hidden="false" ht="12.1" outlineLevel="0" r="392">
      <c r="A392" s="20" t="n">
        <v>45324.433900463</v>
      </c>
      <c r="B392" s="16" t="s">
        <v>933</v>
      </c>
      <c r="C392" s="16" t="s">
        <v>1197</v>
      </c>
      <c r="D392" s="16" t="s">
        <v>912</v>
      </c>
      <c r="E392" s="16" t="s">
        <v>17</v>
      </c>
      <c r="F392" s="16" t="s">
        <v>19</v>
      </c>
      <c r="G392" s="7" t="n">
        <v>10</v>
      </c>
      <c r="H392" s="6" t="n">
        <v>141.69</v>
      </c>
      <c r="I392" s="6" t="n">
        <v>-1416.9</v>
      </c>
      <c r="J392" s="6" t="n">
        <v>0</v>
      </c>
      <c r="K392" s="6" t="n">
        <v>-4.25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1" t="n">
        <v>45329.278078704</v>
      </c>
      <c r="B393" s="22" t="s">
        <v>1063</v>
      </c>
      <c r="C393" s="22" t="s">
        <v>1119</v>
      </c>
      <c r="D393" s="22" t="s">
        <v>1063</v>
      </c>
      <c r="E393" s="22" t="s">
        <v>1063</v>
      </c>
      <c r="F393" s="22" t="s">
        <v>19</v>
      </c>
      <c r="G393" s="23" t="n">
        <v>1</v>
      </c>
      <c r="H393" s="24" t="n">
        <v>1</v>
      </c>
      <c r="I393" s="24" t="n">
        <v>53.1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4"/>
      <c r="O393" s="22"/>
    </row>
    <row collapsed="false" customFormat="false" customHeight="false" hidden="false" ht="12.1" outlineLevel="0" r="394">
      <c r="A394" s="21" t="n">
        <v>45337.5221875</v>
      </c>
      <c r="B394" s="22" t="s">
        <v>1063</v>
      </c>
      <c r="C394" s="22" t="s">
        <v>1120</v>
      </c>
      <c r="D394" s="22" t="s">
        <v>1063</v>
      </c>
      <c r="E394" s="22" t="s">
        <v>1063</v>
      </c>
      <c r="F394" s="22" t="s">
        <v>19</v>
      </c>
      <c r="G394" s="23" t="n">
        <v>1</v>
      </c>
      <c r="H394" s="24" t="n">
        <v>1</v>
      </c>
      <c r="I394" s="24" t="n">
        <v>418.8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4"/>
      <c r="O394" s="22"/>
    </row>
    <row collapsed="false" customFormat="false" customHeight="false" hidden="false" ht="12.1" outlineLevel="0" r="395">
      <c r="A395" s="21" t="n">
        <v>45341.639548611</v>
      </c>
      <c r="B395" s="22" t="s">
        <v>1063</v>
      </c>
      <c r="C395" s="22" t="s">
        <v>1173</v>
      </c>
      <c r="D395" s="22" t="s">
        <v>1063</v>
      </c>
      <c r="E395" s="22" t="s">
        <v>1063</v>
      </c>
      <c r="F395" s="22" t="s">
        <v>19</v>
      </c>
      <c r="G395" s="23" t="n">
        <v>1</v>
      </c>
      <c r="H395" s="24" t="n">
        <v>1</v>
      </c>
      <c r="I395" s="24" t="n">
        <v>51.61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4"/>
      <c r="O395" s="22"/>
    </row>
    <row collapsed="false" customFormat="false" customHeight="false" hidden="false" ht="12.1" outlineLevel="0" r="396">
      <c r="A396" s="21" t="n">
        <v>45342.490011574</v>
      </c>
      <c r="B396" s="22" t="s">
        <v>1063</v>
      </c>
      <c r="C396" s="22" t="s">
        <v>1137</v>
      </c>
      <c r="D396" s="22" t="s">
        <v>1063</v>
      </c>
      <c r="E396" s="22" t="s">
        <v>1063</v>
      </c>
      <c r="F396" s="22" t="s">
        <v>19</v>
      </c>
      <c r="G396" s="23" t="n">
        <v>1</v>
      </c>
      <c r="H396" s="24" t="n">
        <v>1</v>
      </c>
      <c r="I396" s="24" t="n">
        <v>64.82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4"/>
      <c r="O396" s="22"/>
    </row>
    <row collapsed="false" customFormat="false" customHeight="false" hidden="false" ht="12.1" outlineLevel="0" r="397">
      <c r="A397" s="21" t="n">
        <v>45344.564074074</v>
      </c>
      <c r="B397" s="22" t="s">
        <v>1063</v>
      </c>
      <c r="C397" s="22" t="s">
        <v>1064</v>
      </c>
      <c r="D397" s="22" t="s">
        <v>1063</v>
      </c>
      <c r="E397" s="22" t="s">
        <v>1063</v>
      </c>
      <c r="F397" s="22" t="s">
        <v>19</v>
      </c>
      <c r="G397" s="23" t="n">
        <v>1</v>
      </c>
      <c r="H397" s="24" t="n">
        <v>1</v>
      </c>
      <c r="I397" s="24" t="n">
        <v>5.36</v>
      </c>
      <c r="J397" s="24" t="n">
        <v>0</v>
      </c>
      <c r="K397" s="24" t="n">
        <v>0</v>
      </c>
      <c r="L397" s="24" t="n">
        <v>0</v>
      </c>
      <c r="M397" s="6" t="s">
        <f>=I397+J397+K397+L397</f>
      </c>
      <c r="N397" s="24"/>
      <c r="O397" s="22"/>
    </row>
    <row collapsed="false" customFormat="false" customHeight="false" hidden="false" ht="12.1" outlineLevel="0" r="398">
      <c r="A398" s="21" t="n">
        <v>45348.507766204</v>
      </c>
      <c r="B398" s="22" t="s">
        <v>1073</v>
      </c>
      <c r="C398" s="22" t="s">
        <v>1198</v>
      </c>
      <c r="D398" s="22" t="s">
        <v>1073</v>
      </c>
      <c r="E398" s="22" t="s">
        <v>1073</v>
      </c>
      <c r="F398" s="22" t="s">
        <v>19</v>
      </c>
      <c r="G398" s="23" t="n">
        <v>1</v>
      </c>
      <c r="H398" s="24" t="n">
        <v>1</v>
      </c>
      <c r="I398" s="24" t="n">
        <v>125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4"/>
      <c r="O398" s="22"/>
    </row>
    <row collapsed="false" customFormat="false" customHeight="false" hidden="false" ht="12.1" outlineLevel="0" r="399">
      <c r="A399" s="21" t="n">
        <v>45348.508842593</v>
      </c>
      <c r="B399" s="22" t="s">
        <v>1063</v>
      </c>
      <c r="C399" s="22" t="s">
        <v>1142</v>
      </c>
      <c r="D399" s="22" t="s">
        <v>1063</v>
      </c>
      <c r="E399" s="22" t="s">
        <v>1063</v>
      </c>
      <c r="F399" s="22" t="s">
        <v>19</v>
      </c>
      <c r="G399" s="23" t="n">
        <v>1</v>
      </c>
      <c r="H399" s="24" t="n">
        <v>1</v>
      </c>
      <c r="I399" s="24" t="n">
        <v>10.83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1" t="n">
        <v>45348.536018519</v>
      </c>
      <c r="B400" s="22" t="s">
        <v>1063</v>
      </c>
      <c r="C400" s="22" t="s">
        <v>1174</v>
      </c>
      <c r="D400" s="22" t="s">
        <v>1063</v>
      </c>
      <c r="E400" s="22" t="s">
        <v>1063</v>
      </c>
      <c r="F400" s="22" t="s">
        <v>19</v>
      </c>
      <c r="G400" s="23" t="n">
        <v>1</v>
      </c>
      <c r="H400" s="24" t="n">
        <v>1</v>
      </c>
      <c r="I400" s="24" t="n">
        <v>28.6</v>
      </c>
      <c r="J400" s="24" t="n">
        <v>0</v>
      </c>
      <c r="K400" s="24" t="n">
        <v>0</v>
      </c>
      <c r="L400" s="24" t="n">
        <v>0</v>
      </c>
      <c r="M400" s="6" t="s">
        <f>=I400+J400+K400+L400</f>
      </c>
      <c r="N400" s="24"/>
      <c r="O400" s="22"/>
    </row>
    <row collapsed="false" customFormat="false" customHeight="false" hidden="false" ht="12.1" outlineLevel="0" r="401">
      <c r="A401" s="21" t="n">
        <v>45351.541527778</v>
      </c>
      <c r="B401" s="22" t="s">
        <v>1056</v>
      </c>
      <c r="C401" s="22" t="s">
        <v>350</v>
      </c>
      <c r="D401" s="22" t="s">
        <v>1056</v>
      </c>
      <c r="E401" s="22" t="s">
        <v>1056</v>
      </c>
      <c r="F401" s="22" t="s">
        <v>19</v>
      </c>
      <c r="G401" s="23" t="n">
        <v>1</v>
      </c>
      <c r="H401" s="24" t="n">
        <v>1</v>
      </c>
      <c r="I401" s="24" t="n">
        <v>11000</v>
      </c>
      <c r="J401" s="24" t="n">
        <v>0</v>
      </c>
      <c r="K401" s="24" t="n">
        <v>0</v>
      </c>
      <c r="L401" s="24" t="n">
        <v>0</v>
      </c>
      <c r="M401" s="6" t="s">
        <f>=I401+J401+K401+L401</f>
      </c>
      <c r="N401" s="24"/>
      <c r="O401" s="22"/>
    </row>
    <row collapsed="false" customFormat="false" customHeight="false" hidden="false" ht="12.1" outlineLevel="0" r="402">
      <c r="A402" s="20" t="n">
        <v>45351.696643519</v>
      </c>
      <c r="B402" s="16" t="s">
        <v>88</v>
      </c>
      <c r="C402" s="16" t="s">
        <v>1069</v>
      </c>
      <c r="D402" s="16" t="s">
        <v>912</v>
      </c>
      <c r="E402" s="16" t="s">
        <v>85</v>
      </c>
      <c r="F402" s="16" t="s">
        <v>19</v>
      </c>
      <c r="G402" s="7" t="n">
        <v>1</v>
      </c>
      <c r="H402" s="6" t="n">
        <v>104.585</v>
      </c>
      <c r="I402" s="6" t="n">
        <v>-1045.85</v>
      </c>
      <c r="J402" s="6" t="n">
        <v>-26.02</v>
      </c>
      <c r="K402" s="6" t="n">
        <v>-3.14</v>
      </c>
      <c r="L402" s="6" t="n">
        <v>0</v>
      </c>
      <c r="M402" s="6" t="s">
        <f>=I402+J402+K402+L402</f>
      </c>
      <c r="N402" s="6"/>
      <c r="O402" s="16"/>
    </row>
    <row collapsed="false" customFormat="false" customHeight="false" hidden="false" ht="12.1" outlineLevel="0" r="403">
      <c r="A403" s="20" t="n">
        <v>45351.69712963</v>
      </c>
      <c r="B403" s="16" t="s">
        <v>91</v>
      </c>
      <c r="C403" s="16" t="s">
        <v>1167</v>
      </c>
      <c r="D403" s="16" t="s">
        <v>912</v>
      </c>
      <c r="E403" s="16" t="s">
        <v>85</v>
      </c>
      <c r="F403" s="16" t="s">
        <v>19</v>
      </c>
      <c r="G403" s="7" t="n">
        <v>1</v>
      </c>
      <c r="H403" s="6" t="n">
        <v>82.998</v>
      </c>
      <c r="I403" s="6" t="n">
        <v>-829.98</v>
      </c>
      <c r="J403" s="6" t="n">
        <v>-23.09</v>
      </c>
      <c r="K403" s="6" t="n">
        <v>-2.49</v>
      </c>
      <c r="L403" s="6" t="n">
        <v>0</v>
      </c>
      <c r="M403" s="6" t="s">
        <f>=I403+J403+K403+L403</f>
      </c>
      <c r="N403" s="6"/>
      <c r="O403" s="16"/>
    </row>
    <row collapsed="false" customFormat="false" customHeight="false" hidden="false" ht="12.1" outlineLevel="0" r="404">
      <c r="A404" s="20" t="n">
        <v>45351.697476852</v>
      </c>
      <c r="B404" s="16" t="s">
        <v>130</v>
      </c>
      <c r="C404" s="16" t="s">
        <v>1193</v>
      </c>
      <c r="D404" s="16" t="s">
        <v>912</v>
      </c>
      <c r="E404" s="16" t="s">
        <v>85</v>
      </c>
      <c r="F404" s="16" t="s">
        <v>19</v>
      </c>
      <c r="G404" s="7" t="n">
        <v>1</v>
      </c>
      <c r="H404" s="6" t="n">
        <v>94.1</v>
      </c>
      <c r="I404" s="6" t="n">
        <v>-941</v>
      </c>
      <c r="J404" s="6" t="n">
        <v>-39.46</v>
      </c>
      <c r="K404" s="6" t="n">
        <v>-2.82</v>
      </c>
      <c r="L404" s="6" t="n">
        <v>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45351.697766204</v>
      </c>
      <c r="B405" s="16" t="s">
        <v>112</v>
      </c>
      <c r="C405" s="16" t="s">
        <v>1110</v>
      </c>
      <c r="D405" s="16" t="s">
        <v>912</v>
      </c>
      <c r="E405" s="16" t="s">
        <v>85</v>
      </c>
      <c r="F405" s="16" t="s">
        <v>19</v>
      </c>
      <c r="G405" s="7" t="n">
        <v>1</v>
      </c>
      <c r="H405" s="6" t="n">
        <v>67.5</v>
      </c>
      <c r="I405" s="6" t="n">
        <v>-675</v>
      </c>
      <c r="J405" s="6" t="n">
        <v>-3.0700000000001</v>
      </c>
      <c r="K405" s="6" t="n">
        <v>-2.03</v>
      </c>
      <c r="L405" s="6" t="n">
        <v>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0" t="n">
        <v>45351.698101852</v>
      </c>
      <c r="B406" s="16" t="s">
        <v>106</v>
      </c>
      <c r="C406" s="16" t="s">
        <v>1100</v>
      </c>
      <c r="D406" s="16" t="s">
        <v>912</v>
      </c>
      <c r="E406" s="16" t="s">
        <v>85</v>
      </c>
      <c r="F406" s="16" t="s">
        <v>19</v>
      </c>
      <c r="G406" s="7" t="n">
        <v>1</v>
      </c>
      <c r="H406" s="6" t="n">
        <v>69.699</v>
      </c>
      <c r="I406" s="6" t="n">
        <v>-696.99</v>
      </c>
      <c r="J406" s="6" t="n">
        <v>-31.43</v>
      </c>
      <c r="K406" s="6" t="n">
        <v>-2.09</v>
      </c>
      <c r="L406" s="6" t="n">
        <v>0</v>
      </c>
      <c r="M406" s="6" t="s">
        <f>=I406+J406+K406+L406</f>
      </c>
      <c r="N406" s="6"/>
      <c r="O406" s="16"/>
    </row>
    <row collapsed="false" customFormat="false" customHeight="false" hidden="false" ht="12.1" outlineLevel="0" r="407">
      <c r="A407" s="20" t="n">
        <v>45351.6984375</v>
      </c>
      <c r="B407" s="16" t="s">
        <v>118</v>
      </c>
      <c r="C407" s="16" t="s">
        <v>1192</v>
      </c>
      <c r="D407" s="16" t="s">
        <v>912</v>
      </c>
      <c r="E407" s="16" t="s">
        <v>85</v>
      </c>
      <c r="F407" s="16" t="s">
        <v>19</v>
      </c>
      <c r="G407" s="7" t="n">
        <v>1</v>
      </c>
      <c r="H407" s="6" t="n">
        <v>86.147</v>
      </c>
      <c r="I407" s="6" t="n">
        <v>-861.47</v>
      </c>
      <c r="J407" s="6" t="n">
        <v>-24.21</v>
      </c>
      <c r="K407" s="6" t="n">
        <v>-2.58</v>
      </c>
      <c r="L407" s="6" t="n">
        <v>0</v>
      </c>
      <c r="M407" s="6" t="s">
        <f>=I407+J407+K407+L407</f>
      </c>
      <c r="N407" s="6"/>
      <c r="O407" s="16"/>
    </row>
    <row collapsed="false" customFormat="false" customHeight="false" hidden="false" ht="12.1" outlineLevel="0" r="408">
      <c r="A408" s="20" t="n">
        <v>45351.698865741</v>
      </c>
      <c r="B408" s="16" t="s">
        <v>124</v>
      </c>
      <c r="C408" s="16" t="s">
        <v>1136</v>
      </c>
      <c r="D408" s="16" t="s">
        <v>912</v>
      </c>
      <c r="E408" s="16" t="s">
        <v>85</v>
      </c>
      <c r="F408" s="16" t="s">
        <v>19</v>
      </c>
      <c r="G408" s="7" t="n">
        <v>1</v>
      </c>
      <c r="H408" s="6" t="n">
        <v>81.388</v>
      </c>
      <c r="I408" s="6" t="n">
        <v>-813.88</v>
      </c>
      <c r="J408" s="6" t="n">
        <v>-28.3</v>
      </c>
      <c r="K408" s="6" t="n">
        <v>-2.44</v>
      </c>
      <c r="L408" s="6" t="n">
        <v>0</v>
      </c>
      <c r="M408" s="6" t="s">
        <f>=I408+J408+K408+L408</f>
      </c>
      <c r="N408" s="6"/>
      <c r="O408" s="16"/>
    </row>
    <row collapsed="false" customFormat="false" customHeight="false" hidden="false" ht="12.1" outlineLevel="0" r="409">
      <c r="A409" s="20" t="n">
        <v>45351.699467593</v>
      </c>
      <c r="B409" s="16" t="s">
        <v>133</v>
      </c>
      <c r="C409" s="16" t="s">
        <v>1199</v>
      </c>
      <c r="D409" s="16" t="s">
        <v>912</v>
      </c>
      <c r="E409" s="16" t="s">
        <v>85</v>
      </c>
      <c r="F409" s="16" t="s">
        <v>19</v>
      </c>
      <c r="G409" s="7" t="n">
        <v>1</v>
      </c>
      <c r="H409" s="6" t="n">
        <v>82.687</v>
      </c>
      <c r="I409" s="6" t="n">
        <v>-826.87</v>
      </c>
      <c r="J409" s="6" t="n">
        <v>-36.33</v>
      </c>
      <c r="K409" s="6" t="n">
        <v>-2.48</v>
      </c>
      <c r="L409" s="6" t="n">
        <v>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45351.700381944</v>
      </c>
      <c r="B410" s="16" t="s">
        <v>106</v>
      </c>
      <c r="C410" s="16" t="s">
        <v>1100</v>
      </c>
      <c r="D410" s="16" t="s">
        <v>912</v>
      </c>
      <c r="E410" s="16" t="s">
        <v>85</v>
      </c>
      <c r="F410" s="16" t="s">
        <v>19</v>
      </c>
      <c r="G410" s="7" t="n">
        <v>1</v>
      </c>
      <c r="H410" s="6" t="n">
        <v>69.695</v>
      </c>
      <c r="I410" s="6" t="n">
        <v>-696.95</v>
      </c>
      <c r="J410" s="6" t="n">
        <v>-31.43</v>
      </c>
      <c r="K410" s="6" t="n">
        <v>-2.09</v>
      </c>
      <c r="L410" s="6" t="n">
        <v>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45351.70068287</v>
      </c>
      <c r="B411" s="16" t="s">
        <v>94</v>
      </c>
      <c r="C411" s="16" t="s">
        <v>1107</v>
      </c>
      <c r="D411" s="16" t="s">
        <v>912</v>
      </c>
      <c r="E411" s="16" t="s">
        <v>85</v>
      </c>
      <c r="F411" s="16" t="s">
        <v>19</v>
      </c>
      <c r="G411" s="7" t="n">
        <v>1</v>
      </c>
      <c r="H411" s="6" t="n">
        <v>64.239</v>
      </c>
      <c r="I411" s="6" t="n">
        <v>-642.39</v>
      </c>
      <c r="J411" s="6" t="n">
        <v>-16.73</v>
      </c>
      <c r="K411" s="6" t="n">
        <v>-1.93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45351.70130787</v>
      </c>
      <c r="B412" s="16" t="s">
        <v>84</v>
      </c>
      <c r="C412" s="16" t="s">
        <v>1065</v>
      </c>
      <c r="D412" s="16" t="s">
        <v>912</v>
      </c>
      <c r="E412" s="16" t="s">
        <v>85</v>
      </c>
      <c r="F412" s="16" t="s">
        <v>19</v>
      </c>
      <c r="G412" s="7" t="n">
        <v>1</v>
      </c>
      <c r="H412" s="6" t="n">
        <v>63.8</v>
      </c>
      <c r="I412" s="6" t="n">
        <v>-638</v>
      </c>
      <c r="J412" s="6" t="n">
        <v>-5.01</v>
      </c>
      <c r="K412" s="6" t="n">
        <v>-1.91</v>
      </c>
      <c r="L412" s="6" t="n">
        <v>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45351.702025463</v>
      </c>
      <c r="B413" s="16" t="s">
        <v>84</v>
      </c>
      <c r="C413" s="16" t="s">
        <v>1065</v>
      </c>
      <c r="D413" s="16" t="s">
        <v>912</v>
      </c>
      <c r="E413" s="16" t="s">
        <v>85</v>
      </c>
      <c r="F413" s="16" t="s">
        <v>19</v>
      </c>
      <c r="G413" s="7" t="n">
        <v>4</v>
      </c>
      <c r="H413" s="6" t="n">
        <v>63.8</v>
      </c>
      <c r="I413" s="6" t="n">
        <v>-2552</v>
      </c>
      <c r="J413" s="6" t="n">
        <v>-20.04</v>
      </c>
      <c r="K413" s="6" t="n">
        <v>-7.66</v>
      </c>
      <c r="L413" s="6" t="n">
        <v>0</v>
      </c>
      <c r="M413" s="6" t="s">
        <f>=I413+J413+K413+L413</f>
      </c>
      <c r="N413" s="6"/>
      <c r="O413" s="16"/>
    </row>
    <row collapsed="false" customFormat="false" customHeight="false" hidden="false" ht="12.1" outlineLevel="0" r="414">
      <c r="A414" s="21" t="n">
        <v>45355.568275463</v>
      </c>
      <c r="B414" s="22" t="s">
        <v>1063</v>
      </c>
      <c r="C414" s="22" t="s">
        <v>1105</v>
      </c>
      <c r="D414" s="22" t="s">
        <v>1063</v>
      </c>
      <c r="E414" s="22" t="s">
        <v>1063</v>
      </c>
      <c r="F414" s="22" t="s">
        <v>19</v>
      </c>
      <c r="G414" s="23" t="n">
        <v>1</v>
      </c>
      <c r="H414" s="24" t="n">
        <v>1</v>
      </c>
      <c r="I414" s="24" t="n">
        <v>24.81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4"/>
      <c r="O414" s="22"/>
    </row>
    <row collapsed="false" customFormat="false" customHeight="false" hidden="false" ht="12.1" outlineLevel="0" r="415">
      <c r="A415" s="21" t="n">
        <v>45356.5375</v>
      </c>
      <c r="B415" s="22" t="s">
        <v>1056</v>
      </c>
      <c r="C415" s="22" t="s">
        <v>350</v>
      </c>
      <c r="D415" s="22" t="s">
        <v>1056</v>
      </c>
      <c r="E415" s="22" t="s">
        <v>1056</v>
      </c>
      <c r="F415" s="22" t="s">
        <v>19</v>
      </c>
      <c r="G415" s="23" t="n">
        <v>1</v>
      </c>
      <c r="H415" s="24" t="n">
        <v>1</v>
      </c>
      <c r="I415" s="24" t="n">
        <v>16605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</row>
    <row collapsed="false" customFormat="false" customHeight="false" hidden="false" ht="12.1" outlineLevel="0" r="416">
      <c r="A416" s="20" t="n">
        <v>45356.59599537</v>
      </c>
      <c r="B416" s="16" t="s">
        <v>48</v>
      </c>
      <c r="C416" s="16" t="s">
        <v>1076</v>
      </c>
      <c r="D416" s="16" t="s">
        <v>912</v>
      </c>
      <c r="E416" s="16" t="s">
        <v>17</v>
      </c>
      <c r="F416" s="16" t="s">
        <v>19</v>
      </c>
      <c r="G416" s="7" t="n">
        <v>2</v>
      </c>
      <c r="H416" s="6" t="n">
        <v>892.3</v>
      </c>
      <c r="I416" s="6" t="n">
        <v>-1784.6</v>
      </c>
      <c r="J416" s="6" t="n">
        <v>0</v>
      </c>
      <c r="K416" s="6" t="n">
        <v>-5.35</v>
      </c>
      <c r="L416" s="6" t="n">
        <v>0</v>
      </c>
      <c r="M416" s="6" t="s">
        <f>=I416+J416+K416+L416</f>
      </c>
      <c r="N416" s="6"/>
      <c r="O416" s="16"/>
    </row>
    <row collapsed="false" customFormat="false" customHeight="false" hidden="false" ht="12.1" outlineLevel="0" r="417">
      <c r="A417" s="20" t="n">
        <v>45356.596354167</v>
      </c>
      <c r="B417" s="16" t="s">
        <v>42</v>
      </c>
      <c r="C417" s="16" t="s">
        <v>1077</v>
      </c>
      <c r="D417" s="16" t="s">
        <v>912</v>
      </c>
      <c r="E417" s="16" t="s">
        <v>17</v>
      </c>
      <c r="F417" s="16" t="s">
        <v>19</v>
      </c>
      <c r="G417" s="7" t="n">
        <v>100</v>
      </c>
      <c r="H417" s="6" t="n">
        <v>4.0655</v>
      </c>
      <c r="I417" s="6" t="n">
        <v>-406.55</v>
      </c>
      <c r="J417" s="6" t="n">
        <v>0</v>
      </c>
      <c r="K417" s="6" t="n">
        <v>-1.22</v>
      </c>
      <c r="L417" s="6" t="n">
        <v>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0" t="n">
        <v>45356.59681713</v>
      </c>
      <c r="B418" s="16" t="s">
        <v>51</v>
      </c>
      <c r="C418" s="16" t="s">
        <v>1071</v>
      </c>
      <c r="D418" s="16" t="s">
        <v>912</v>
      </c>
      <c r="E418" s="16" t="s">
        <v>17</v>
      </c>
      <c r="F418" s="16" t="s">
        <v>19</v>
      </c>
      <c r="G418" s="7" t="n">
        <v>20000</v>
      </c>
      <c r="H418" s="6" t="n">
        <v>0.023715</v>
      </c>
      <c r="I418" s="6" t="n">
        <v>-474.3</v>
      </c>
      <c r="J418" s="6" t="n">
        <v>0</v>
      </c>
      <c r="K418" s="6" t="n">
        <v>-1.42</v>
      </c>
      <c r="L418" s="6" t="n">
        <v>0</v>
      </c>
      <c r="M418" s="6" t="s">
        <f>=I418+J418+K418+L418</f>
      </c>
      <c r="N418" s="6"/>
      <c r="O418" s="16"/>
    </row>
    <row collapsed="false" customFormat="false" customHeight="false" hidden="false" ht="12.1" outlineLevel="0" r="419">
      <c r="A419" s="20" t="n">
        <v>45356.597268519</v>
      </c>
      <c r="B419" s="16" t="s">
        <v>59</v>
      </c>
      <c r="C419" s="16" t="s">
        <v>1121</v>
      </c>
      <c r="D419" s="16" t="s">
        <v>912</v>
      </c>
      <c r="E419" s="16" t="s">
        <v>17</v>
      </c>
      <c r="F419" s="16" t="s">
        <v>19</v>
      </c>
      <c r="G419" s="7" t="n">
        <v>10</v>
      </c>
      <c r="H419" s="6" t="n">
        <v>40.22</v>
      </c>
      <c r="I419" s="6" t="n">
        <v>-402.2</v>
      </c>
      <c r="J419" s="6" t="n">
        <v>0</v>
      </c>
      <c r="K419" s="6" t="n">
        <v>-1.21</v>
      </c>
      <c r="L419" s="6" t="n">
        <v>0</v>
      </c>
      <c r="M419" s="6" t="s">
        <f>=I419+J419+K419+L419</f>
      </c>
      <c r="N419" s="6"/>
      <c r="O419" s="16"/>
    </row>
    <row collapsed="false" customFormat="false" customHeight="false" hidden="false" ht="12.1" outlineLevel="0" r="420">
      <c r="A420" s="20" t="n">
        <v>45356.597592593</v>
      </c>
      <c r="B420" s="16" t="s">
        <v>927</v>
      </c>
      <c r="C420" s="16" t="s">
        <v>1154</v>
      </c>
      <c r="D420" s="16" t="s">
        <v>912</v>
      </c>
      <c r="E420" s="16" t="s">
        <v>17</v>
      </c>
      <c r="F420" s="16" t="s">
        <v>19</v>
      </c>
      <c r="G420" s="7" t="n">
        <v>10000</v>
      </c>
      <c r="H420" s="6" t="n">
        <v>0.12322</v>
      </c>
      <c r="I420" s="6" t="n">
        <v>-1232.2</v>
      </c>
      <c r="J420" s="6" t="n">
        <v>0</v>
      </c>
      <c r="K420" s="6" t="n">
        <v>-3.7</v>
      </c>
      <c r="L420" s="6" t="n">
        <v>0</v>
      </c>
      <c r="M420" s="6" t="s">
        <f>=I420+J420+K420+L420</f>
      </c>
      <c r="N420" s="6"/>
      <c r="O420" s="16"/>
    </row>
    <row collapsed="false" customFormat="false" customHeight="false" hidden="false" ht="12.1" outlineLevel="0" r="421">
      <c r="A421" s="20" t="n">
        <v>45356.601006944</v>
      </c>
      <c r="B421" s="16" t="s">
        <v>91</v>
      </c>
      <c r="C421" s="16" t="s">
        <v>1167</v>
      </c>
      <c r="D421" s="16" t="s">
        <v>912</v>
      </c>
      <c r="E421" s="16" t="s">
        <v>85</v>
      </c>
      <c r="F421" s="16" t="s">
        <v>19</v>
      </c>
      <c r="G421" s="7" t="n">
        <v>1</v>
      </c>
      <c r="H421" s="6" t="n">
        <v>82.3</v>
      </c>
      <c r="I421" s="6" t="n">
        <v>-823</v>
      </c>
      <c r="J421" s="6" t="n">
        <v>-24.44</v>
      </c>
      <c r="K421" s="6" t="n">
        <v>-2.47</v>
      </c>
      <c r="L421" s="6" t="n">
        <v>0</v>
      </c>
      <c r="M421" s="6" t="s">
        <f>=I421+J421+K421+L421</f>
      </c>
      <c r="N421" s="6"/>
      <c r="O421" s="16"/>
    </row>
    <row collapsed="false" customFormat="false" customHeight="false" hidden="false" ht="12.1" outlineLevel="0" r="422">
      <c r="A422" s="20" t="n">
        <v>45356.601435185</v>
      </c>
      <c r="B422" s="16" t="s">
        <v>130</v>
      </c>
      <c r="C422" s="16" t="s">
        <v>1193</v>
      </c>
      <c r="D422" s="16" t="s">
        <v>912</v>
      </c>
      <c r="E422" s="16" t="s">
        <v>85</v>
      </c>
      <c r="F422" s="16" t="s">
        <v>19</v>
      </c>
      <c r="G422" s="7" t="n">
        <v>1</v>
      </c>
      <c r="H422" s="6" t="n">
        <v>93.15</v>
      </c>
      <c r="I422" s="6" t="n">
        <v>-931.5</v>
      </c>
      <c r="J422" s="6" t="n">
        <v>-41</v>
      </c>
      <c r="K422" s="6" t="n">
        <v>-2.79</v>
      </c>
      <c r="L422" s="6" t="n">
        <v>0</v>
      </c>
      <c r="M422" s="6" t="s">
        <f>=I422+J422+K422+L422</f>
      </c>
      <c r="N422" s="6"/>
      <c r="O422" s="16"/>
    </row>
    <row collapsed="false" customFormat="false" customHeight="false" hidden="false" ht="12.1" outlineLevel="0" r="423">
      <c r="A423" s="20" t="n">
        <v>45356.601724537</v>
      </c>
      <c r="B423" s="16" t="s">
        <v>88</v>
      </c>
      <c r="C423" s="16" t="s">
        <v>1069</v>
      </c>
      <c r="D423" s="16" t="s">
        <v>912</v>
      </c>
      <c r="E423" s="16" t="s">
        <v>85</v>
      </c>
      <c r="F423" s="16" t="s">
        <v>19</v>
      </c>
      <c r="G423" s="7" t="n">
        <v>1</v>
      </c>
      <c r="H423" s="6" t="n">
        <v>104.557</v>
      </c>
      <c r="I423" s="6" t="n">
        <v>-1045.57</v>
      </c>
      <c r="J423" s="6" t="n">
        <v>-27.83</v>
      </c>
      <c r="K423" s="6" t="n">
        <v>-3.14</v>
      </c>
      <c r="L423" s="6" t="n">
        <v>0</v>
      </c>
      <c r="M423" s="6" t="s">
        <f>=I423+J423+K423+L423</f>
      </c>
      <c r="N423" s="6"/>
      <c r="O423" s="16"/>
    </row>
    <row collapsed="false" customFormat="false" customHeight="false" hidden="false" ht="12.1" outlineLevel="0" r="424">
      <c r="A424" s="20" t="n">
        <v>45356.602025463</v>
      </c>
      <c r="B424" s="16" t="s">
        <v>112</v>
      </c>
      <c r="C424" s="16" t="s">
        <v>1110</v>
      </c>
      <c r="D424" s="16" t="s">
        <v>912</v>
      </c>
      <c r="E424" s="16" t="s">
        <v>85</v>
      </c>
      <c r="F424" s="16" t="s">
        <v>19</v>
      </c>
      <c r="G424" s="7" t="n">
        <v>1</v>
      </c>
      <c r="H424" s="6" t="n">
        <v>66.75</v>
      </c>
      <c r="I424" s="6" t="n">
        <v>-667.5</v>
      </c>
      <c r="J424" s="6" t="n">
        <v>-4.03</v>
      </c>
      <c r="K424" s="6" t="n">
        <v>-2</v>
      </c>
      <c r="L424" s="6" t="n">
        <v>0</v>
      </c>
      <c r="M424" s="6" t="s">
        <f>=I424+J424+K424+L424</f>
      </c>
      <c r="N424" s="6"/>
      <c r="O424" s="16"/>
    </row>
    <row collapsed="false" customFormat="false" customHeight="false" hidden="false" ht="12.1" outlineLevel="0" r="425">
      <c r="A425" s="20" t="n">
        <v>45356.602326389</v>
      </c>
      <c r="B425" s="16" t="s">
        <v>118</v>
      </c>
      <c r="C425" s="16" t="s">
        <v>1192</v>
      </c>
      <c r="D425" s="16" t="s">
        <v>912</v>
      </c>
      <c r="E425" s="16" t="s">
        <v>85</v>
      </c>
      <c r="F425" s="16" t="s">
        <v>19</v>
      </c>
      <c r="G425" s="7" t="n">
        <v>1</v>
      </c>
      <c r="H425" s="6" t="n">
        <v>85.45</v>
      </c>
      <c r="I425" s="6" t="n">
        <v>-854.5</v>
      </c>
      <c r="J425" s="6" t="n">
        <v>-25.51</v>
      </c>
      <c r="K425" s="6" t="n">
        <v>-2.56</v>
      </c>
      <c r="L425" s="6" t="n">
        <v>0</v>
      </c>
      <c r="M425" s="6" t="s">
        <f>=I425+J425+K425+L425</f>
      </c>
      <c r="N425" s="6"/>
      <c r="O425" s="16"/>
    </row>
    <row collapsed="false" customFormat="false" customHeight="false" hidden="false" ht="12.1" outlineLevel="0" r="426">
      <c r="A426" s="20" t="n">
        <v>45356.602604167</v>
      </c>
      <c r="B426" s="16" t="s">
        <v>106</v>
      </c>
      <c r="C426" s="16" t="s">
        <v>1100</v>
      </c>
      <c r="D426" s="16" t="s">
        <v>912</v>
      </c>
      <c r="E426" s="16" t="s">
        <v>85</v>
      </c>
      <c r="F426" s="16" t="s">
        <v>19</v>
      </c>
      <c r="G426" s="7" t="n">
        <v>1</v>
      </c>
      <c r="H426" s="6" t="n">
        <v>69.143</v>
      </c>
      <c r="I426" s="6" t="n">
        <v>-691.43</v>
      </c>
      <c r="J426" s="6" t="n">
        <v>-32.48</v>
      </c>
      <c r="K426" s="6" t="n">
        <v>-2.07</v>
      </c>
      <c r="L426" s="6" t="n">
        <v>0</v>
      </c>
      <c r="M426" s="6" t="s">
        <f>=I426+J426+K426+L426</f>
      </c>
      <c r="N426" s="6"/>
      <c r="O426" s="16"/>
    </row>
    <row collapsed="false" customFormat="false" customHeight="false" hidden="false" ht="12.1" outlineLevel="0" r="427">
      <c r="A427" s="20" t="n">
        <v>45356.602835648</v>
      </c>
      <c r="B427" s="16" t="s">
        <v>94</v>
      </c>
      <c r="C427" s="16" t="s">
        <v>1107</v>
      </c>
      <c r="D427" s="16" t="s">
        <v>912</v>
      </c>
      <c r="E427" s="16" t="s">
        <v>85</v>
      </c>
      <c r="F427" s="16" t="s">
        <v>19</v>
      </c>
      <c r="G427" s="7" t="n">
        <v>1</v>
      </c>
      <c r="H427" s="6" t="n">
        <v>63.549</v>
      </c>
      <c r="I427" s="6" t="n">
        <v>-635.49</v>
      </c>
      <c r="J427" s="6" t="n">
        <v>-17.7</v>
      </c>
      <c r="K427" s="6" t="n">
        <v>-1.91</v>
      </c>
      <c r="L427" s="6" t="n">
        <v>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45356.603078704</v>
      </c>
      <c r="B428" s="16" t="s">
        <v>133</v>
      </c>
      <c r="C428" s="16" t="s">
        <v>1199</v>
      </c>
      <c r="D428" s="16" t="s">
        <v>912</v>
      </c>
      <c r="E428" s="16" t="s">
        <v>85</v>
      </c>
      <c r="F428" s="16" t="s">
        <v>19</v>
      </c>
      <c r="G428" s="7" t="n">
        <v>1</v>
      </c>
      <c r="H428" s="6" t="n">
        <v>82.038</v>
      </c>
      <c r="I428" s="6" t="n">
        <v>-820.38</v>
      </c>
      <c r="J428" s="6" t="n">
        <v>-37.49</v>
      </c>
      <c r="K428" s="6" t="n">
        <v>-2.46</v>
      </c>
      <c r="L428" s="6" t="n">
        <v>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45356.603310185</v>
      </c>
      <c r="B429" s="16" t="s">
        <v>163</v>
      </c>
      <c r="C429" s="16" t="s">
        <v>1200</v>
      </c>
      <c r="D429" s="16" t="s">
        <v>912</v>
      </c>
      <c r="E429" s="16" t="s">
        <v>85</v>
      </c>
      <c r="F429" s="16" t="s">
        <v>19</v>
      </c>
      <c r="G429" s="7" t="n">
        <v>1</v>
      </c>
      <c r="H429" s="6" t="n">
        <v>87.557</v>
      </c>
      <c r="I429" s="6" t="n">
        <v>-875.57</v>
      </c>
      <c r="J429" s="6" t="n">
        <v>0</v>
      </c>
      <c r="K429" s="6" t="n">
        <v>-2.63</v>
      </c>
      <c r="L429" s="6" t="n">
        <v>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0" t="n">
        <v>45356.603518519</v>
      </c>
      <c r="B430" s="16" t="s">
        <v>124</v>
      </c>
      <c r="C430" s="16" t="s">
        <v>1136</v>
      </c>
      <c r="D430" s="16" t="s">
        <v>912</v>
      </c>
      <c r="E430" s="16" t="s">
        <v>85</v>
      </c>
      <c r="F430" s="16" t="s">
        <v>19</v>
      </c>
      <c r="G430" s="7" t="n">
        <v>1</v>
      </c>
      <c r="H430" s="6" t="n">
        <v>80.888</v>
      </c>
      <c r="I430" s="6" t="n">
        <v>-808.88</v>
      </c>
      <c r="J430" s="6" t="n">
        <v>-29.35</v>
      </c>
      <c r="K430" s="6" t="n">
        <v>-2.43</v>
      </c>
      <c r="L430" s="6" t="n">
        <v>0</v>
      </c>
      <c r="M430" s="6" t="s">
        <f>=I430+J430+K430+L430</f>
      </c>
      <c r="N430" s="6"/>
      <c r="O430" s="16"/>
    </row>
    <row collapsed="false" customFormat="false" customHeight="false" hidden="false" ht="12.1" outlineLevel="0" r="431">
      <c r="A431" s="20" t="n">
        <v>45356.60375</v>
      </c>
      <c r="B431" s="16" t="s">
        <v>136</v>
      </c>
      <c r="C431" s="16" t="s">
        <v>1066</v>
      </c>
      <c r="D431" s="16" t="s">
        <v>912</v>
      </c>
      <c r="E431" s="16" t="s">
        <v>85</v>
      </c>
      <c r="F431" s="16" t="s">
        <v>19</v>
      </c>
      <c r="G431" s="7" t="n">
        <v>1</v>
      </c>
      <c r="H431" s="6" t="n">
        <v>71.634</v>
      </c>
      <c r="I431" s="6" t="n">
        <v>-716.34</v>
      </c>
      <c r="J431" s="6" t="n">
        <v>-20.86</v>
      </c>
      <c r="K431" s="6" t="n">
        <v>-2.15</v>
      </c>
      <c r="L431" s="6" t="n">
        <v>0</v>
      </c>
      <c r="M431" s="6" t="s">
        <f>=I431+J431+K431+L431</f>
      </c>
      <c r="N431" s="6"/>
      <c r="O431" s="16"/>
    </row>
    <row collapsed="false" customFormat="false" customHeight="false" hidden="false" ht="12.1" outlineLevel="0" r="432">
      <c r="A432" s="20" t="n">
        <v>45356.604814815</v>
      </c>
      <c r="B432" s="16" t="s">
        <v>196</v>
      </c>
      <c r="C432" s="16" t="s">
        <v>1201</v>
      </c>
      <c r="D432" s="16" t="s">
        <v>912</v>
      </c>
      <c r="E432" s="16" t="s">
        <v>85</v>
      </c>
      <c r="F432" s="16" t="s">
        <v>19</v>
      </c>
      <c r="G432" s="7" t="n">
        <v>1</v>
      </c>
      <c r="H432" s="6" t="n">
        <v>86.2</v>
      </c>
      <c r="I432" s="6" t="n">
        <v>-862</v>
      </c>
      <c r="J432" s="6" t="n">
        <v>-0.44000000000005</v>
      </c>
      <c r="K432" s="6" t="n">
        <v>-2.59</v>
      </c>
      <c r="L432" s="6" t="n">
        <v>0</v>
      </c>
      <c r="M432" s="6" t="s">
        <f>=I432+J432+K432+L432</f>
      </c>
      <c r="N432" s="6"/>
      <c r="O432" s="16"/>
    </row>
    <row collapsed="false" customFormat="false" customHeight="false" hidden="false" ht="12.1" outlineLevel="0" r="433">
      <c r="A433" s="20" t="n">
        <v>45356.605034722</v>
      </c>
      <c r="B433" s="16" t="s">
        <v>84</v>
      </c>
      <c r="C433" s="16" t="s">
        <v>1065</v>
      </c>
      <c r="D433" s="16" t="s">
        <v>912</v>
      </c>
      <c r="E433" s="16" t="s">
        <v>85</v>
      </c>
      <c r="F433" s="16" t="s">
        <v>19</v>
      </c>
      <c r="G433" s="7" t="n">
        <v>1</v>
      </c>
      <c r="H433" s="6" t="n">
        <v>63.308</v>
      </c>
      <c r="I433" s="6" t="n">
        <v>-633.08</v>
      </c>
      <c r="J433" s="6" t="n">
        <v>-5.8499999999999</v>
      </c>
      <c r="K433" s="6" t="n">
        <v>-1.9</v>
      </c>
      <c r="L433" s="6" t="n">
        <v>0</v>
      </c>
      <c r="M433" s="6" t="s">
        <f>=I433+J433+K433+L433</f>
      </c>
      <c r="N433" s="6"/>
      <c r="O433" s="16"/>
    </row>
    <row collapsed="false" customFormat="false" customHeight="false" hidden="false" ht="12.1" outlineLevel="0" r="434">
      <c r="A434" s="20" t="n">
        <v>45356.605578704</v>
      </c>
      <c r="B434" s="16" t="s">
        <v>934</v>
      </c>
      <c r="C434" s="16" t="s">
        <v>1202</v>
      </c>
      <c r="D434" s="16" t="s">
        <v>912</v>
      </c>
      <c r="E434" s="16" t="s">
        <v>85</v>
      </c>
      <c r="F434" s="16" t="s">
        <v>19</v>
      </c>
      <c r="G434" s="7" t="n">
        <v>1</v>
      </c>
      <c r="H434" s="6" t="n">
        <v>95.489966555184</v>
      </c>
      <c r="I434" s="6" t="n">
        <v>-571.03</v>
      </c>
      <c r="J434" s="6" t="n">
        <v>-14.6</v>
      </c>
      <c r="K434" s="6" t="n">
        <v>-1.71</v>
      </c>
      <c r="L434" s="6" t="n">
        <v>0</v>
      </c>
      <c r="M434" s="6" t="s">
        <f>=I434+J434+K434+L434</f>
      </c>
      <c r="N434" s="6"/>
      <c r="O434" s="16"/>
    </row>
    <row collapsed="false" customFormat="false" customHeight="false" hidden="false" ht="12.1" outlineLevel="0" r="435">
      <c r="A435" s="20" t="n">
        <v>45356.606018519</v>
      </c>
      <c r="B435" s="16" t="s">
        <v>935</v>
      </c>
      <c r="C435" s="16" t="s">
        <v>1203</v>
      </c>
      <c r="D435" s="16" t="s">
        <v>912</v>
      </c>
      <c r="E435" s="16" t="s">
        <v>85</v>
      </c>
      <c r="F435" s="16" t="s">
        <v>19</v>
      </c>
      <c r="G435" s="7" t="n">
        <v>1</v>
      </c>
      <c r="H435" s="6" t="n">
        <v>87.55</v>
      </c>
      <c r="I435" s="6" t="n">
        <v>-262.65</v>
      </c>
      <c r="J435" s="6" t="n">
        <v>-1.08</v>
      </c>
      <c r="K435" s="6" t="n">
        <v>-0.79</v>
      </c>
      <c r="L435" s="6" t="n">
        <v>0</v>
      </c>
      <c r="M435" s="6" t="s">
        <f>=I435+J435+K435+L435</f>
      </c>
      <c r="N435" s="6"/>
      <c r="O435" s="16"/>
    </row>
    <row collapsed="false" customFormat="false" customHeight="false" hidden="false" ht="12.1" outlineLevel="0" r="436">
      <c r="A436" s="20" t="n">
        <v>45356.60681713</v>
      </c>
      <c r="B436" s="16" t="s">
        <v>278</v>
      </c>
      <c r="C436" s="16" t="s">
        <v>1204</v>
      </c>
      <c r="D436" s="16" t="s">
        <v>912</v>
      </c>
      <c r="E436" s="16" t="s">
        <v>85</v>
      </c>
      <c r="F436" s="16" t="s">
        <v>19</v>
      </c>
      <c r="G436" s="7" t="n">
        <v>1</v>
      </c>
      <c r="H436" s="6" t="n">
        <v>101.15</v>
      </c>
      <c r="I436" s="6" t="n">
        <v>-1011.5</v>
      </c>
      <c r="J436" s="6" t="n">
        <v>-7.5</v>
      </c>
      <c r="K436" s="6" t="n">
        <v>-3.03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1" t="n">
        <v>45358.550046296</v>
      </c>
      <c r="B437" s="22" t="s">
        <v>1063</v>
      </c>
      <c r="C437" s="22" t="s">
        <v>1106</v>
      </c>
      <c r="D437" s="22" t="s">
        <v>1063</v>
      </c>
      <c r="E437" s="22" t="s">
        <v>1063</v>
      </c>
      <c r="F437" s="22" t="s">
        <v>19</v>
      </c>
      <c r="G437" s="23" t="n">
        <v>1</v>
      </c>
      <c r="H437" s="24" t="n">
        <v>1</v>
      </c>
      <c r="I437" s="24" t="n">
        <v>19.87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4"/>
      <c r="O437" s="22"/>
    </row>
    <row collapsed="false" customFormat="false" customHeight="false" hidden="false" ht="12.1" outlineLevel="0" r="438">
      <c r="A438" s="21" t="n">
        <v>45358.579421296</v>
      </c>
      <c r="B438" s="22" t="s">
        <v>1063</v>
      </c>
      <c r="C438" s="22" t="s">
        <v>1123</v>
      </c>
      <c r="D438" s="22" t="s">
        <v>1063</v>
      </c>
      <c r="E438" s="22" t="s">
        <v>1063</v>
      </c>
      <c r="F438" s="22" t="s">
        <v>19</v>
      </c>
      <c r="G438" s="23" t="n">
        <v>1</v>
      </c>
      <c r="H438" s="24" t="n">
        <v>1</v>
      </c>
      <c r="I438" s="24" t="n">
        <v>45.97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4"/>
      <c r="O438" s="22"/>
    </row>
    <row collapsed="false" customFormat="false" customHeight="false" hidden="false" ht="12.1" outlineLevel="0" r="439">
      <c r="A439" s="21" t="n">
        <v>45362.513171296</v>
      </c>
      <c r="B439" s="22" t="s">
        <v>1073</v>
      </c>
      <c r="C439" s="22" t="s">
        <v>1205</v>
      </c>
      <c r="D439" s="22" t="s">
        <v>1073</v>
      </c>
      <c r="E439" s="22" t="s">
        <v>1073</v>
      </c>
      <c r="F439" s="22" t="s">
        <v>19</v>
      </c>
      <c r="G439" s="23" t="n">
        <v>1</v>
      </c>
      <c r="H439" s="24" t="n">
        <v>1</v>
      </c>
      <c r="I439" s="24" t="n">
        <v>67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4"/>
      <c r="O439" s="22"/>
    </row>
    <row collapsed="false" customFormat="false" customHeight="false" hidden="false" ht="12.1" outlineLevel="0" r="440">
      <c r="A440" s="21" t="n">
        <v>45362.515856481</v>
      </c>
      <c r="B440" s="22" t="s">
        <v>1063</v>
      </c>
      <c r="C440" s="22" t="s">
        <v>1206</v>
      </c>
      <c r="D440" s="22" t="s">
        <v>1063</v>
      </c>
      <c r="E440" s="22" t="s">
        <v>1063</v>
      </c>
      <c r="F440" s="22" t="s">
        <v>19</v>
      </c>
      <c r="G440" s="23" t="n">
        <v>1</v>
      </c>
      <c r="H440" s="24" t="n">
        <v>1</v>
      </c>
      <c r="I440" s="24" t="n">
        <v>14.76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4"/>
      <c r="O440" s="22"/>
    </row>
    <row collapsed="false" customFormat="false" customHeight="false" hidden="false" ht="12.1" outlineLevel="0" r="441">
      <c r="A441" s="21" t="n">
        <v>45371.575219907</v>
      </c>
      <c r="B441" s="22" t="s">
        <v>1063</v>
      </c>
      <c r="C441" s="22" t="s">
        <v>1126</v>
      </c>
      <c r="D441" s="22" t="s">
        <v>1063</v>
      </c>
      <c r="E441" s="22" t="s">
        <v>1063</v>
      </c>
      <c r="F441" s="22" t="s">
        <v>19</v>
      </c>
      <c r="G441" s="23" t="n">
        <v>1</v>
      </c>
      <c r="H441" s="24" t="n">
        <v>1</v>
      </c>
      <c r="I441" s="24" t="n">
        <v>39.39</v>
      </c>
      <c r="J441" s="24" t="n">
        <v>0</v>
      </c>
      <c r="K441" s="24" t="n">
        <v>0</v>
      </c>
      <c r="L441" s="24" t="n">
        <v>0</v>
      </c>
      <c r="M441" s="6" t="s">
        <f>=I441+J441+K441+L441</f>
      </c>
      <c r="N441" s="24"/>
      <c r="O441" s="22"/>
    </row>
    <row collapsed="false" customFormat="false" customHeight="false" hidden="false" ht="12.1" outlineLevel="0" r="442">
      <c r="A442" s="21" t="n">
        <v>45372.466666667</v>
      </c>
      <c r="B442" s="22" t="s">
        <v>1063</v>
      </c>
      <c r="C442" s="22" t="s">
        <v>1085</v>
      </c>
      <c r="D442" s="22" t="s">
        <v>1063</v>
      </c>
      <c r="E442" s="22" t="s">
        <v>1063</v>
      </c>
      <c r="F442" s="22" t="s">
        <v>19</v>
      </c>
      <c r="G442" s="23" t="n">
        <v>1</v>
      </c>
      <c r="H442" s="24" t="n">
        <v>1</v>
      </c>
      <c r="I442" s="24" t="n">
        <v>235.36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4"/>
      <c r="O442" s="22"/>
    </row>
    <row collapsed="false" customFormat="false" customHeight="false" hidden="false" ht="12.1" outlineLevel="0" r="443">
      <c r="A443" s="21" t="n">
        <v>45373.537708333</v>
      </c>
      <c r="B443" s="22" t="s">
        <v>1063</v>
      </c>
      <c r="C443" s="22" t="s">
        <v>1207</v>
      </c>
      <c r="D443" s="22" t="s">
        <v>1063</v>
      </c>
      <c r="E443" s="22" t="s">
        <v>1063</v>
      </c>
      <c r="F443" s="22" t="s">
        <v>19</v>
      </c>
      <c r="G443" s="23" t="n">
        <v>1</v>
      </c>
      <c r="H443" s="24" t="n">
        <v>1</v>
      </c>
      <c r="I443" s="24" t="n">
        <v>14.54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/>
    </row>
    <row collapsed="false" customFormat="false" customHeight="false" hidden="false" ht="12.1" outlineLevel="0" r="444">
      <c r="A444" s="21" t="n">
        <v>45377.668043981</v>
      </c>
      <c r="B444" s="22" t="s">
        <v>1063</v>
      </c>
      <c r="C444" s="22" t="s">
        <v>1174</v>
      </c>
      <c r="D444" s="22" t="s">
        <v>1063</v>
      </c>
      <c r="E444" s="22" t="s">
        <v>1063</v>
      </c>
      <c r="F444" s="22" t="s">
        <v>19</v>
      </c>
      <c r="G444" s="23" t="n">
        <v>1</v>
      </c>
      <c r="H444" s="24" t="n">
        <v>1</v>
      </c>
      <c r="I444" s="24" t="n">
        <v>29.5</v>
      </c>
      <c r="J444" s="24" t="n">
        <v>0</v>
      </c>
      <c r="K444" s="24" t="n">
        <v>0</v>
      </c>
      <c r="L444" s="24" t="n">
        <v>0</v>
      </c>
      <c r="M444" s="6" t="s">
        <f>=I444+J444+K444+L444</f>
      </c>
      <c r="N444" s="24"/>
      <c r="O444" s="22"/>
    </row>
    <row collapsed="false" customFormat="false" customHeight="false" hidden="false" ht="12.1" outlineLevel="0" r="445">
      <c r="A445" s="21" t="n">
        <v>45378.456585648</v>
      </c>
      <c r="B445" s="22" t="s">
        <v>1073</v>
      </c>
      <c r="C445" s="22" t="s">
        <v>1175</v>
      </c>
      <c r="D445" s="22" t="s">
        <v>1073</v>
      </c>
      <c r="E445" s="22" t="s">
        <v>1073</v>
      </c>
      <c r="F445" s="22" t="s">
        <v>19</v>
      </c>
      <c r="G445" s="23" t="n">
        <v>1</v>
      </c>
      <c r="H445" s="24" t="n">
        <v>1</v>
      </c>
      <c r="I445" s="24" t="n">
        <v>75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4"/>
      <c r="O445" s="22"/>
    </row>
    <row collapsed="false" customFormat="false" customHeight="false" hidden="false" ht="12.1" outlineLevel="0" r="446">
      <c r="A446" s="21" t="n">
        <v>45378.458136574</v>
      </c>
      <c r="B446" s="22" t="s">
        <v>1063</v>
      </c>
      <c r="C446" s="22" t="s">
        <v>1176</v>
      </c>
      <c r="D446" s="22" t="s">
        <v>1063</v>
      </c>
      <c r="E446" s="22" t="s">
        <v>1063</v>
      </c>
      <c r="F446" s="22" t="s">
        <v>19</v>
      </c>
      <c r="G446" s="23" t="n">
        <v>1</v>
      </c>
      <c r="H446" s="24" t="n">
        <v>1</v>
      </c>
      <c r="I446" s="24" t="n">
        <v>17.67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4"/>
      <c r="O446" s="22"/>
    </row>
    <row collapsed="false" customFormat="false" customHeight="false" hidden="false" ht="12.1" outlineLevel="0" r="447">
      <c r="A447" s="21" t="n">
        <v>45379.431782407</v>
      </c>
      <c r="B447" s="22" t="s">
        <v>1063</v>
      </c>
      <c r="C447" s="22" t="s">
        <v>1208</v>
      </c>
      <c r="D447" s="22" t="s">
        <v>1063</v>
      </c>
      <c r="E447" s="22" t="s">
        <v>1063</v>
      </c>
      <c r="F447" s="22" t="s">
        <v>19</v>
      </c>
      <c r="G447" s="23" t="n">
        <v>1</v>
      </c>
      <c r="H447" s="24" t="n">
        <v>1</v>
      </c>
      <c r="I447" s="24" t="n">
        <v>189.88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4"/>
      <c r="O447" s="22"/>
    </row>
    <row collapsed="false" customFormat="false" customHeight="false" hidden="false" ht="12.1" outlineLevel="0" r="448">
      <c r="A448" s="21" t="n">
        <v>45379.552268519</v>
      </c>
      <c r="B448" s="22" t="s">
        <v>1063</v>
      </c>
      <c r="C448" s="22" t="s">
        <v>1209</v>
      </c>
      <c r="D448" s="22" t="s">
        <v>1063</v>
      </c>
      <c r="E448" s="22" t="s">
        <v>1063</v>
      </c>
      <c r="F448" s="22" t="s">
        <v>19</v>
      </c>
      <c r="G448" s="23" t="n">
        <v>1</v>
      </c>
      <c r="H448" s="24" t="n">
        <v>1</v>
      </c>
      <c r="I448" s="24" t="n">
        <v>84.76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4"/>
      <c r="O448" s="22"/>
    </row>
    <row collapsed="false" customFormat="false" customHeight="false" hidden="false" ht="12.1" outlineLevel="0" r="449">
      <c r="A449" s="21" t="n">
        <v>45379.736527778</v>
      </c>
      <c r="B449" s="22" t="s">
        <v>1063</v>
      </c>
      <c r="C449" s="22" t="s">
        <v>1128</v>
      </c>
      <c r="D449" s="22" t="s">
        <v>1063</v>
      </c>
      <c r="E449" s="22" t="s">
        <v>1063</v>
      </c>
      <c r="F449" s="22" t="s">
        <v>19</v>
      </c>
      <c r="G449" s="23" t="n">
        <v>1</v>
      </c>
      <c r="H449" s="24" t="n">
        <v>1</v>
      </c>
      <c r="I449" s="24" t="n">
        <v>62.64</v>
      </c>
      <c r="J449" s="24" t="n">
        <v>0</v>
      </c>
      <c r="K449" s="24" t="n">
        <v>0</v>
      </c>
      <c r="L449" s="24" t="n">
        <v>0</v>
      </c>
      <c r="M449" s="6" t="s">
        <f>=I449+J449+K449+L449</f>
      </c>
      <c r="N449" s="24"/>
      <c r="O449" s="22"/>
    </row>
    <row collapsed="false" customFormat="false" customHeight="false" hidden="false" ht="12.1" outlineLevel="0" r="450">
      <c r="A450" s="21" t="n">
        <v>45386.43275463</v>
      </c>
      <c r="B450" s="22" t="s">
        <v>1063</v>
      </c>
      <c r="C450" s="22" t="s">
        <v>1130</v>
      </c>
      <c r="D450" s="22" t="s">
        <v>1063</v>
      </c>
      <c r="E450" s="22" t="s">
        <v>1063</v>
      </c>
      <c r="F450" s="22" t="s">
        <v>19</v>
      </c>
      <c r="G450" s="23" t="n">
        <v>1</v>
      </c>
      <c r="H450" s="24" t="n">
        <v>1</v>
      </c>
      <c r="I450" s="24" t="n">
        <v>499.07</v>
      </c>
      <c r="J450" s="24" t="n">
        <v>0</v>
      </c>
      <c r="K450" s="24" t="n">
        <v>0</v>
      </c>
      <c r="L450" s="24" t="n">
        <v>0</v>
      </c>
      <c r="M450" s="6" t="s">
        <f>=I450+J450+K450+L450</f>
      </c>
      <c r="N450" s="24"/>
      <c r="O450" s="22"/>
    </row>
    <row collapsed="false" customFormat="false" customHeight="false" hidden="false" ht="12.1" outlineLevel="0" r="451">
      <c r="A451" s="21" t="n">
        <v>45386.463101852</v>
      </c>
      <c r="B451" s="22" t="s">
        <v>1063</v>
      </c>
      <c r="C451" s="22" t="s">
        <v>1129</v>
      </c>
      <c r="D451" s="22" t="s">
        <v>1063</v>
      </c>
      <c r="E451" s="22" t="s">
        <v>1063</v>
      </c>
      <c r="F451" s="22" t="s">
        <v>19</v>
      </c>
      <c r="G451" s="23" t="n">
        <v>1</v>
      </c>
      <c r="H451" s="24" t="n">
        <v>1</v>
      </c>
      <c r="I451" s="24" t="n">
        <v>76.78</v>
      </c>
      <c r="J451" s="24" t="n">
        <v>0</v>
      </c>
      <c r="K451" s="24" t="n">
        <v>0</v>
      </c>
      <c r="L451" s="24" t="n">
        <v>0</v>
      </c>
      <c r="M451" s="6" t="s">
        <f>=I451+J451+K451+L451</f>
      </c>
      <c r="N451" s="24"/>
      <c r="O451" s="22"/>
    </row>
    <row collapsed="false" customFormat="false" customHeight="false" hidden="false" ht="12.1" outlineLevel="0" r="452">
      <c r="A452" s="21" t="n">
        <v>45387.659733796</v>
      </c>
      <c r="B452" s="22" t="s">
        <v>1056</v>
      </c>
      <c r="C452" s="22" t="s">
        <v>350</v>
      </c>
      <c r="D452" s="22" t="s">
        <v>1056</v>
      </c>
      <c r="E452" s="22" t="s">
        <v>1056</v>
      </c>
      <c r="F452" s="22" t="s">
        <v>19</v>
      </c>
      <c r="G452" s="23" t="n">
        <v>1</v>
      </c>
      <c r="H452" s="24" t="n">
        <v>1</v>
      </c>
      <c r="I452" s="24" t="n">
        <v>11200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4"/>
      <c r="O452" s="22"/>
    </row>
    <row collapsed="false" customFormat="false" customHeight="false" hidden="false" ht="12.1" outlineLevel="0" r="453">
      <c r="A453" s="21" t="n">
        <v>45387.660428241</v>
      </c>
      <c r="B453" s="22" t="s">
        <v>1063</v>
      </c>
      <c r="C453" s="22" t="s">
        <v>1072</v>
      </c>
      <c r="D453" s="22" t="s">
        <v>1063</v>
      </c>
      <c r="E453" s="22" t="s">
        <v>1063</v>
      </c>
      <c r="F453" s="22" t="s">
        <v>19</v>
      </c>
      <c r="G453" s="23" t="n">
        <v>1</v>
      </c>
      <c r="H453" s="24" t="n">
        <v>1</v>
      </c>
      <c r="I453" s="24" t="n">
        <v>13.96</v>
      </c>
      <c r="J453" s="24" t="n">
        <v>0</v>
      </c>
      <c r="K453" s="24" t="n">
        <v>0</v>
      </c>
      <c r="L453" s="24" t="n">
        <v>0</v>
      </c>
      <c r="M453" s="6" t="s">
        <f>=I453+J453+K453+L453</f>
      </c>
      <c r="N453" s="24"/>
      <c r="O453" s="22"/>
    </row>
    <row collapsed="false" customFormat="false" customHeight="false" hidden="false" ht="12.1" outlineLevel="0" r="454">
      <c r="A454" s="20" t="n">
        <v>45387.667974537</v>
      </c>
      <c r="B454" s="16" t="s">
        <v>130</v>
      </c>
      <c r="C454" s="16" t="s">
        <v>1193</v>
      </c>
      <c r="D454" s="16" t="s">
        <v>912</v>
      </c>
      <c r="E454" s="16" t="s">
        <v>85</v>
      </c>
      <c r="F454" s="16" t="s">
        <v>19</v>
      </c>
      <c r="G454" s="7" t="n">
        <v>1</v>
      </c>
      <c r="H454" s="6" t="n">
        <v>89.247</v>
      </c>
      <c r="I454" s="6" t="n">
        <v>-892.47</v>
      </c>
      <c r="J454" s="6" t="n">
        <v>-3.6999999999999</v>
      </c>
      <c r="K454" s="6" t="n">
        <v>-2.68</v>
      </c>
      <c r="L454" s="6" t="n">
        <v>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0" t="n">
        <v>45387.668344907</v>
      </c>
      <c r="B455" s="16" t="s">
        <v>118</v>
      </c>
      <c r="C455" s="16" t="s">
        <v>1192</v>
      </c>
      <c r="D455" s="16" t="s">
        <v>912</v>
      </c>
      <c r="E455" s="16" t="s">
        <v>85</v>
      </c>
      <c r="F455" s="16" t="s">
        <v>19</v>
      </c>
      <c r="G455" s="7" t="n">
        <v>1</v>
      </c>
      <c r="H455" s="6" t="n">
        <v>81.549</v>
      </c>
      <c r="I455" s="6" t="n">
        <v>-815.49</v>
      </c>
      <c r="J455" s="6" t="n">
        <v>-34.1</v>
      </c>
      <c r="K455" s="6" t="n">
        <v>-2.45</v>
      </c>
      <c r="L455" s="6" t="n">
        <v>0</v>
      </c>
      <c r="M455" s="6" t="s">
        <f>=I455+J455+K455+L455</f>
      </c>
      <c r="N455" s="6"/>
      <c r="O455" s="16"/>
    </row>
    <row collapsed="false" customFormat="false" customHeight="false" hidden="false" ht="12.1" outlineLevel="0" r="456">
      <c r="A456" s="20" t="n">
        <v>45387.668854167</v>
      </c>
      <c r="B456" s="16" t="s">
        <v>136</v>
      </c>
      <c r="C456" s="16" t="s">
        <v>1066</v>
      </c>
      <c r="D456" s="16" t="s">
        <v>912</v>
      </c>
      <c r="E456" s="16" t="s">
        <v>85</v>
      </c>
      <c r="F456" s="16" t="s">
        <v>19</v>
      </c>
      <c r="G456" s="7" t="n">
        <v>1</v>
      </c>
      <c r="H456" s="6" t="n">
        <v>67.848</v>
      </c>
      <c r="I456" s="6" t="n">
        <v>-678.48</v>
      </c>
      <c r="J456" s="6" t="n">
        <v>-27.41</v>
      </c>
      <c r="K456" s="6" t="n">
        <v>-2.04</v>
      </c>
      <c r="L456" s="6" t="n">
        <v>0</v>
      </c>
      <c r="M456" s="6" t="s">
        <f>=I456+J456+K456+L456</f>
      </c>
      <c r="N456" s="6"/>
      <c r="O456" s="16"/>
    </row>
    <row collapsed="false" customFormat="false" customHeight="false" hidden="false" ht="12.1" outlineLevel="0" r="457">
      <c r="A457" s="20" t="n">
        <v>45387.669131944</v>
      </c>
      <c r="B457" s="16" t="s">
        <v>127</v>
      </c>
      <c r="C457" s="16" t="s">
        <v>1099</v>
      </c>
      <c r="D457" s="16" t="s">
        <v>912</v>
      </c>
      <c r="E457" s="16" t="s">
        <v>85</v>
      </c>
      <c r="F457" s="16" t="s">
        <v>19</v>
      </c>
      <c r="G457" s="7" t="n">
        <v>1</v>
      </c>
      <c r="H457" s="6" t="n">
        <v>72.172</v>
      </c>
      <c r="I457" s="6" t="n">
        <v>-721.72</v>
      </c>
      <c r="J457" s="6" t="n">
        <v>-1.05</v>
      </c>
      <c r="K457" s="6" t="n">
        <v>-2.17</v>
      </c>
      <c r="L457" s="6" t="n">
        <v>0</v>
      </c>
      <c r="M457" s="6" t="s">
        <f>=I457+J457+K457+L457</f>
      </c>
      <c r="N457" s="6"/>
      <c r="O457" s="16"/>
    </row>
    <row collapsed="false" customFormat="false" customHeight="false" hidden="false" ht="12.1" outlineLevel="0" r="458">
      <c r="A458" s="20" t="n">
        <v>45387.669375</v>
      </c>
      <c r="B458" s="16" t="s">
        <v>103</v>
      </c>
      <c r="C458" s="16" t="s">
        <v>1061</v>
      </c>
      <c r="D458" s="16" t="s">
        <v>912</v>
      </c>
      <c r="E458" s="16" t="s">
        <v>85</v>
      </c>
      <c r="F458" s="16" t="s">
        <v>19</v>
      </c>
      <c r="G458" s="7" t="n">
        <v>1</v>
      </c>
      <c r="H458" s="6" t="n">
        <v>68.242</v>
      </c>
      <c r="I458" s="6" t="n">
        <v>-682.42</v>
      </c>
      <c r="J458" s="6" t="n">
        <v>-3.0700000000001</v>
      </c>
      <c r="K458" s="6" t="n">
        <v>-2.05</v>
      </c>
      <c r="L458" s="6" t="n">
        <v>0</v>
      </c>
      <c r="M458" s="6" t="s">
        <f>=I458+J458+K458+L458</f>
      </c>
      <c r="N458" s="6"/>
      <c r="O458" s="16"/>
    </row>
    <row collapsed="false" customFormat="false" customHeight="false" hidden="false" ht="12.1" outlineLevel="0" r="459">
      <c r="A459" s="20" t="n">
        <v>45387.669918981</v>
      </c>
      <c r="B459" s="16" t="s">
        <v>91</v>
      </c>
      <c r="C459" s="16" t="s">
        <v>1167</v>
      </c>
      <c r="D459" s="16" t="s">
        <v>912</v>
      </c>
      <c r="E459" s="16" t="s">
        <v>85</v>
      </c>
      <c r="F459" s="16" t="s">
        <v>19</v>
      </c>
      <c r="G459" s="7" t="n">
        <v>1</v>
      </c>
      <c r="H459" s="6" t="n">
        <v>77.41</v>
      </c>
      <c r="I459" s="6" t="n">
        <v>-774.1</v>
      </c>
      <c r="J459" s="6" t="n">
        <v>-33.3</v>
      </c>
      <c r="K459" s="6" t="n">
        <v>-2.32</v>
      </c>
      <c r="L459" s="6" t="n">
        <v>0</v>
      </c>
      <c r="M459" s="6" t="s">
        <f>=I459+J459+K459+L459</f>
      </c>
      <c r="N459" s="6"/>
      <c r="O459" s="16"/>
    </row>
    <row collapsed="false" customFormat="false" customHeight="false" hidden="false" ht="12.1" outlineLevel="0" r="460">
      <c r="A460" s="20" t="n">
        <v>45387.670150463</v>
      </c>
      <c r="B460" s="16" t="s">
        <v>112</v>
      </c>
      <c r="C460" s="16" t="s">
        <v>1110</v>
      </c>
      <c r="D460" s="16" t="s">
        <v>912</v>
      </c>
      <c r="E460" s="16" t="s">
        <v>85</v>
      </c>
      <c r="F460" s="16" t="s">
        <v>19</v>
      </c>
      <c r="G460" s="7" t="n">
        <v>1</v>
      </c>
      <c r="H460" s="6" t="n">
        <v>62.393</v>
      </c>
      <c r="I460" s="6" t="n">
        <v>-623.93</v>
      </c>
      <c r="J460" s="6" t="n">
        <v>-10.35</v>
      </c>
      <c r="K460" s="6" t="n">
        <v>-1.87</v>
      </c>
      <c r="L460" s="6" t="n">
        <v>0</v>
      </c>
      <c r="M460" s="6" t="s">
        <f>=I460+J460+K460+L460</f>
      </c>
      <c r="N460" s="6"/>
      <c r="O460" s="16"/>
    </row>
    <row collapsed="false" customFormat="false" customHeight="false" hidden="false" ht="12.1" outlineLevel="0" r="461">
      <c r="A461" s="20" t="n">
        <v>45387.67037037</v>
      </c>
      <c r="B461" s="16" t="s">
        <v>130</v>
      </c>
      <c r="C461" s="16" t="s">
        <v>1193</v>
      </c>
      <c r="D461" s="16" t="s">
        <v>912</v>
      </c>
      <c r="E461" s="16" t="s">
        <v>85</v>
      </c>
      <c r="F461" s="16" t="s">
        <v>19</v>
      </c>
      <c r="G461" s="7" t="n">
        <v>1</v>
      </c>
      <c r="H461" s="6" t="n">
        <v>89.23</v>
      </c>
      <c r="I461" s="6" t="n">
        <v>-892.3</v>
      </c>
      <c r="J461" s="6" t="n">
        <v>-3.7</v>
      </c>
      <c r="K461" s="6" t="n">
        <v>-2.68</v>
      </c>
      <c r="L461" s="6" t="n">
        <v>0</v>
      </c>
      <c r="M461" s="6" t="s">
        <f>=I461+J461+K461+L461</f>
      </c>
      <c r="N461" s="6"/>
      <c r="O461" s="16"/>
    </row>
    <row collapsed="false" customFormat="false" customHeight="false" hidden="false" ht="12.1" outlineLevel="0" r="462">
      <c r="A462" s="20" t="n">
        <v>45387.670578704</v>
      </c>
      <c r="B462" s="16" t="s">
        <v>106</v>
      </c>
      <c r="C462" s="16" t="s">
        <v>1100</v>
      </c>
      <c r="D462" s="16" t="s">
        <v>912</v>
      </c>
      <c r="E462" s="16" t="s">
        <v>85</v>
      </c>
      <c r="F462" s="16" t="s">
        <v>19</v>
      </c>
      <c r="G462" s="7" t="n">
        <v>1</v>
      </c>
      <c r="H462" s="6" t="n">
        <v>64.62</v>
      </c>
      <c r="I462" s="6" t="n">
        <v>-646.2</v>
      </c>
      <c r="J462" s="6" t="n">
        <v>-1.05</v>
      </c>
      <c r="K462" s="6" t="n">
        <v>-1.94</v>
      </c>
      <c r="L462" s="6" t="n">
        <v>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0" t="n">
        <v>45387.670856481</v>
      </c>
      <c r="B463" s="16" t="s">
        <v>84</v>
      </c>
      <c r="C463" s="16" t="s">
        <v>1065</v>
      </c>
      <c r="D463" s="16" t="s">
        <v>912</v>
      </c>
      <c r="E463" s="16" t="s">
        <v>85</v>
      </c>
      <c r="F463" s="16" t="s">
        <v>19</v>
      </c>
      <c r="G463" s="7" t="n">
        <v>3</v>
      </c>
      <c r="H463" s="6" t="n">
        <v>59.267</v>
      </c>
      <c r="I463" s="6" t="n">
        <v>-1778.01</v>
      </c>
      <c r="J463" s="6" t="n">
        <v>-34.11</v>
      </c>
      <c r="K463" s="6" t="n">
        <v>-5.33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45387.671053241</v>
      </c>
      <c r="B464" s="16" t="s">
        <v>118</v>
      </c>
      <c r="C464" s="16" t="s">
        <v>1192</v>
      </c>
      <c r="D464" s="16" t="s">
        <v>912</v>
      </c>
      <c r="E464" s="16" t="s">
        <v>85</v>
      </c>
      <c r="F464" s="16" t="s">
        <v>19</v>
      </c>
      <c r="G464" s="7" t="n">
        <v>1</v>
      </c>
      <c r="H464" s="6" t="n">
        <v>81.495</v>
      </c>
      <c r="I464" s="6" t="n">
        <v>-814.95</v>
      </c>
      <c r="J464" s="6" t="n">
        <v>-34.1</v>
      </c>
      <c r="K464" s="6" t="n">
        <v>-2.44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45387.671805556</v>
      </c>
      <c r="B465" s="16" t="s">
        <v>94</v>
      </c>
      <c r="C465" s="16" t="s">
        <v>1107</v>
      </c>
      <c r="D465" s="16" t="s">
        <v>912</v>
      </c>
      <c r="E465" s="16" t="s">
        <v>85</v>
      </c>
      <c r="F465" s="16" t="s">
        <v>19</v>
      </c>
      <c r="G465" s="7" t="n">
        <v>1</v>
      </c>
      <c r="H465" s="6" t="n">
        <v>59.28</v>
      </c>
      <c r="I465" s="6" t="n">
        <v>-592.8</v>
      </c>
      <c r="J465" s="6" t="n">
        <v>-24.12</v>
      </c>
      <c r="K465" s="6" t="n">
        <v>-1.78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0" t="n">
        <v>45387.672013889</v>
      </c>
      <c r="B466" s="16" t="s">
        <v>136</v>
      </c>
      <c r="C466" s="16" t="s">
        <v>1066</v>
      </c>
      <c r="D466" s="16" t="s">
        <v>912</v>
      </c>
      <c r="E466" s="16" t="s">
        <v>85</v>
      </c>
      <c r="F466" s="16" t="s">
        <v>19</v>
      </c>
      <c r="G466" s="7" t="n">
        <v>1</v>
      </c>
      <c r="H466" s="6" t="n">
        <v>67.848</v>
      </c>
      <c r="I466" s="6" t="n">
        <v>-678.48</v>
      </c>
      <c r="J466" s="6" t="n">
        <v>-27.41</v>
      </c>
      <c r="K466" s="6" t="n">
        <v>-2.04</v>
      </c>
      <c r="L466" s="6" t="n">
        <v>0</v>
      </c>
      <c r="M466" s="6" t="s">
        <f>=I466+J466+K466+L466</f>
      </c>
      <c r="N466" s="6"/>
      <c r="O466" s="16"/>
    </row>
    <row collapsed="false" customFormat="false" customHeight="false" hidden="false" ht="12.1" outlineLevel="0" r="467">
      <c r="A467" s="20" t="n">
        <v>45387.672199074</v>
      </c>
      <c r="B467" s="16" t="s">
        <v>127</v>
      </c>
      <c r="C467" s="16" t="s">
        <v>1099</v>
      </c>
      <c r="D467" s="16" t="s">
        <v>912</v>
      </c>
      <c r="E467" s="16" t="s">
        <v>85</v>
      </c>
      <c r="F467" s="16" t="s">
        <v>19</v>
      </c>
      <c r="G467" s="7" t="n">
        <v>1</v>
      </c>
      <c r="H467" s="6" t="n">
        <v>72.173</v>
      </c>
      <c r="I467" s="6" t="n">
        <v>-721.73</v>
      </c>
      <c r="J467" s="6" t="n">
        <v>-1.05</v>
      </c>
      <c r="K467" s="6" t="n">
        <v>-2.17</v>
      </c>
      <c r="L467" s="6" t="n">
        <v>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0" t="n">
        <v>45387.672372685</v>
      </c>
      <c r="B468" s="16" t="s">
        <v>103</v>
      </c>
      <c r="C468" s="16" t="s">
        <v>1061</v>
      </c>
      <c r="D468" s="16" t="s">
        <v>912</v>
      </c>
      <c r="E468" s="16" t="s">
        <v>85</v>
      </c>
      <c r="F468" s="16" t="s">
        <v>19</v>
      </c>
      <c r="G468" s="7" t="n">
        <v>1</v>
      </c>
      <c r="H468" s="6" t="n">
        <v>68.243</v>
      </c>
      <c r="I468" s="6" t="n">
        <v>-682.43</v>
      </c>
      <c r="J468" s="6" t="n">
        <v>-3.0700000000001</v>
      </c>
      <c r="K468" s="6" t="n">
        <v>-2.05</v>
      </c>
      <c r="L468" s="6" t="n">
        <v>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1" t="n">
        <v>45393.534456019</v>
      </c>
      <c r="B469" s="22" t="s">
        <v>1063</v>
      </c>
      <c r="C469" s="22" t="s">
        <v>1210</v>
      </c>
      <c r="D469" s="22" t="s">
        <v>1063</v>
      </c>
      <c r="E469" s="22" t="s">
        <v>1063</v>
      </c>
      <c r="F469" s="22" t="s">
        <v>19</v>
      </c>
      <c r="G469" s="23" t="n">
        <v>1</v>
      </c>
      <c r="H469" s="24" t="n">
        <v>1</v>
      </c>
      <c r="I469" s="24" t="n">
        <v>44.09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4"/>
      <c r="O469" s="22"/>
    </row>
    <row collapsed="false" customFormat="false" customHeight="false" hidden="false" ht="12.1" outlineLevel="0" r="470">
      <c r="A470" s="25" t="n">
        <v>45393.534456019</v>
      </c>
      <c r="B470" s="26" t="s">
        <v>1089</v>
      </c>
      <c r="C470" s="26" t="s">
        <v>1211</v>
      </c>
      <c r="D470" s="26" t="s">
        <v>1089</v>
      </c>
      <c r="E470" s="26" t="s">
        <v>1089</v>
      </c>
      <c r="F470" s="26" t="s">
        <v>19</v>
      </c>
      <c r="G470" s="27" t="n">
        <v>1</v>
      </c>
      <c r="H470" s="28" t="n">
        <v>-5</v>
      </c>
      <c r="I470" s="28" t="n">
        <v>-5</v>
      </c>
      <c r="J470" s="28" t="n">
        <v>0</v>
      </c>
      <c r="K470" s="28" t="n">
        <v>0</v>
      </c>
      <c r="L470" s="28" t="n">
        <v>0</v>
      </c>
      <c r="M470" s="6" t="s">
        <f>=I470+J470+K470+L470</f>
      </c>
      <c r="N470" s="28"/>
      <c r="O470" s="26"/>
    </row>
    <row collapsed="false" customFormat="false" customHeight="false" hidden="false" ht="12.1" outlineLevel="0" r="471">
      <c r="A471" s="21" t="n">
        <v>45394.411030093</v>
      </c>
      <c r="B471" s="22" t="s">
        <v>1063</v>
      </c>
      <c r="C471" s="22" t="s">
        <v>1133</v>
      </c>
      <c r="D471" s="22" t="s">
        <v>1063</v>
      </c>
      <c r="E471" s="22" t="s">
        <v>1063</v>
      </c>
      <c r="F471" s="22" t="s">
        <v>19</v>
      </c>
      <c r="G471" s="23" t="n">
        <v>1</v>
      </c>
      <c r="H471" s="24" t="n">
        <v>1</v>
      </c>
      <c r="I471" s="24" t="n">
        <v>102.62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4"/>
      <c r="O471" s="22"/>
    </row>
    <row collapsed="false" customFormat="false" customHeight="false" hidden="false" ht="12.1" outlineLevel="0" r="472">
      <c r="A472" s="21" t="n">
        <v>45400.511331019</v>
      </c>
      <c r="B472" s="22" t="s">
        <v>1063</v>
      </c>
      <c r="C472" s="22" t="s">
        <v>1178</v>
      </c>
      <c r="D472" s="22" t="s">
        <v>1063</v>
      </c>
      <c r="E472" s="22" t="s">
        <v>1063</v>
      </c>
      <c r="F472" s="22" t="s">
        <v>19</v>
      </c>
      <c r="G472" s="23" t="n">
        <v>1</v>
      </c>
      <c r="H472" s="24" t="n">
        <v>1</v>
      </c>
      <c r="I472" s="24" t="n">
        <v>190.75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4"/>
      <c r="O472" s="22"/>
    </row>
    <row collapsed="false" customFormat="false" customHeight="false" hidden="false" ht="12.1" outlineLevel="0" r="473">
      <c r="A473" s="21" t="n">
        <v>45405.559131944</v>
      </c>
      <c r="B473" s="22" t="s">
        <v>1063</v>
      </c>
      <c r="C473" s="22" t="s">
        <v>1207</v>
      </c>
      <c r="D473" s="22" t="s">
        <v>1063</v>
      </c>
      <c r="E473" s="22" t="s">
        <v>1063</v>
      </c>
      <c r="F473" s="22" t="s">
        <v>19</v>
      </c>
      <c r="G473" s="23" t="n">
        <v>1</v>
      </c>
      <c r="H473" s="24" t="n">
        <v>1</v>
      </c>
      <c r="I473" s="24" t="n">
        <v>14.43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4"/>
      <c r="O473" s="22"/>
    </row>
    <row collapsed="false" customFormat="false" customHeight="false" hidden="false" ht="12.1" outlineLevel="0" r="474">
      <c r="A474" s="21" t="n">
        <v>45406.504560185</v>
      </c>
      <c r="B474" s="22" t="s">
        <v>1063</v>
      </c>
      <c r="C474" s="22" t="s">
        <v>1195</v>
      </c>
      <c r="D474" s="22" t="s">
        <v>1063</v>
      </c>
      <c r="E474" s="22" t="s">
        <v>1063</v>
      </c>
      <c r="F474" s="22" t="s">
        <v>19</v>
      </c>
      <c r="G474" s="23" t="n">
        <v>1</v>
      </c>
      <c r="H474" s="24" t="n">
        <v>1</v>
      </c>
      <c r="I474" s="24" t="n">
        <v>34.28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4"/>
      <c r="O474" s="22"/>
    </row>
    <row collapsed="false" customFormat="false" customHeight="false" hidden="false" ht="12.1" outlineLevel="0" r="475">
      <c r="A475" s="21" t="n">
        <v>45407.503784722</v>
      </c>
      <c r="B475" s="22" t="s">
        <v>1063</v>
      </c>
      <c r="C475" s="22" t="s">
        <v>1080</v>
      </c>
      <c r="D475" s="22" t="s">
        <v>1063</v>
      </c>
      <c r="E475" s="22" t="s">
        <v>1063</v>
      </c>
      <c r="F475" s="22" t="s">
        <v>19</v>
      </c>
      <c r="G475" s="23" t="n">
        <v>1</v>
      </c>
      <c r="H475" s="24" t="n">
        <v>1</v>
      </c>
      <c r="I475" s="24" t="n">
        <v>39.13</v>
      </c>
      <c r="J475" s="24" t="n">
        <v>0</v>
      </c>
      <c r="K475" s="24" t="n">
        <v>0</v>
      </c>
      <c r="L475" s="24" t="n">
        <v>0</v>
      </c>
      <c r="M475" s="6" t="s">
        <f>=I475+J475+K475+L475</f>
      </c>
      <c r="N475" s="24"/>
      <c r="O475" s="22"/>
    </row>
    <row collapsed="false" customFormat="false" customHeight="false" hidden="false" ht="12.1" outlineLevel="0" r="476">
      <c r="A476" s="21" t="n">
        <v>45407.567141204</v>
      </c>
      <c r="B476" s="22" t="s">
        <v>1073</v>
      </c>
      <c r="C476" s="22" t="s">
        <v>1212</v>
      </c>
      <c r="D476" s="22" t="s">
        <v>1073</v>
      </c>
      <c r="E476" s="22" t="s">
        <v>1073</v>
      </c>
      <c r="F476" s="22" t="s">
        <v>19</v>
      </c>
      <c r="G476" s="23" t="n">
        <v>1</v>
      </c>
      <c r="H476" s="24" t="n">
        <v>1</v>
      </c>
      <c r="I476" s="24" t="n">
        <v>1000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4"/>
      <c r="O476" s="22"/>
    </row>
    <row collapsed="false" customFormat="false" customHeight="false" hidden="false" ht="12.1" outlineLevel="0" r="477">
      <c r="A477" s="21" t="n">
        <v>45407.662430556</v>
      </c>
      <c r="B477" s="22" t="s">
        <v>1063</v>
      </c>
      <c r="C477" s="22" t="s">
        <v>1174</v>
      </c>
      <c r="D477" s="22" t="s">
        <v>1063</v>
      </c>
      <c r="E477" s="22" t="s">
        <v>1063</v>
      </c>
      <c r="F477" s="22" t="s">
        <v>19</v>
      </c>
      <c r="G477" s="23" t="n">
        <v>1</v>
      </c>
      <c r="H477" s="24" t="n">
        <v>1</v>
      </c>
      <c r="I477" s="24" t="n">
        <v>29.18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4"/>
      <c r="O477" s="22"/>
    </row>
    <row collapsed="false" customFormat="false" customHeight="false" hidden="false" ht="12.1" outlineLevel="0" r="478">
      <c r="A478" s="21" t="n">
        <v>45407.757743056</v>
      </c>
      <c r="B478" s="22" t="s">
        <v>1063</v>
      </c>
      <c r="C478" s="22" t="s">
        <v>1180</v>
      </c>
      <c r="D478" s="22" t="s">
        <v>1063</v>
      </c>
      <c r="E478" s="22" t="s">
        <v>1063</v>
      </c>
      <c r="F478" s="22" t="s">
        <v>19</v>
      </c>
      <c r="G478" s="23" t="n">
        <v>1</v>
      </c>
      <c r="H478" s="24" t="n">
        <v>1</v>
      </c>
      <c r="I478" s="24" t="n">
        <v>43.1</v>
      </c>
      <c r="J478" s="24" t="n">
        <v>0</v>
      </c>
      <c r="K478" s="24" t="n">
        <v>0</v>
      </c>
      <c r="L478" s="24" t="n">
        <v>0</v>
      </c>
      <c r="M478" s="6" t="s">
        <f>=I478+J478+K478+L478</f>
      </c>
      <c r="N478" s="24"/>
      <c r="O478" s="22"/>
    </row>
    <row collapsed="false" customFormat="false" customHeight="false" hidden="false" ht="12.1" outlineLevel="0" r="479">
      <c r="A479" s="21" t="n">
        <v>45415.462268519</v>
      </c>
      <c r="B479" s="22" t="s">
        <v>1063</v>
      </c>
      <c r="C479" s="22" t="s">
        <v>1101</v>
      </c>
      <c r="D479" s="22" t="s">
        <v>1063</v>
      </c>
      <c r="E479" s="22" t="s">
        <v>1063</v>
      </c>
      <c r="F479" s="22" t="s">
        <v>19</v>
      </c>
      <c r="G479" s="23" t="n">
        <v>1</v>
      </c>
      <c r="H479" s="24" t="n">
        <v>1</v>
      </c>
      <c r="I479" s="24" t="n">
        <v>42.38</v>
      </c>
      <c r="J479" s="24" t="n">
        <v>0</v>
      </c>
      <c r="K479" s="24" t="n">
        <v>0</v>
      </c>
      <c r="L479" s="24" t="n">
        <v>0</v>
      </c>
      <c r="M479" s="6" t="s">
        <f>=I479+J479+K479+L479</f>
      </c>
      <c r="N479" s="24"/>
      <c r="O479" s="22"/>
    </row>
    <row collapsed="false" customFormat="false" customHeight="false" hidden="false" ht="12.1" outlineLevel="0" r="480">
      <c r="A480" s="21" t="n">
        <v>45415.589467593</v>
      </c>
      <c r="B480" s="22" t="s">
        <v>1063</v>
      </c>
      <c r="C480" s="22" t="s">
        <v>1181</v>
      </c>
      <c r="D480" s="22" t="s">
        <v>1063</v>
      </c>
      <c r="E480" s="22" t="s">
        <v>1063</v>
      </c>
      <c r="F480" s="22" t="s">
        <v>19</v>
      </c>
      <c r="G480" s="23" t="n">
        <v>1</v>
      </c>
      <c r="H480" s="24" t="n">
        <v>1</v>
      </c>
      <c r="I480" s="24" t="n">
        <v>39.1</v>
      </c>
      <c r="J480" s="24" t="n">
        <v>0</v>
      </c>
      <c r="K480" s="24" t="n">
        <v>0</v>
      </c>
      <c r="L480" s="24" t="n">
        <v>0</v>
      </c>
      <c r="M480" s="6" t="s">
        <f>=I480+J480+K480+L480</f>
      </c>
      <c r="N480" s="24"/>
      <c r="O480" s="22"/>
    </row>
    <row collapsed="false" customFormat="false" customHeight="false" hidden="false" ht="12.1" outlineLevel="0" r="481">
      <c r="A481" s="21" t="n">
        <v>45415.72900463</v>
      </c>
      <c r="B481" s="22" t="s">
        <v>1063</v>
      </c>
      <c r="C481" s="22" t="s">
        <v>1117</v>
      </c>
      <c r="D481" s="22" t="s">
        <v>1063</v>
      </c>
      <c r="E481" s="22" t="s">
        <v>1063</v>
      </c>
      <c r="F481" s="22" t="s">
        <v>19</v>
      </c>
      <c r="G481" s="23" t="n">
        <v>1</v>
      </c>
      <c r="H481" s="24" t="n">
        <v>1</v>
      </c>
      <c r="I481" s="24" t="n">
        <v>28.22</v>
      </c>
      <c r="J481" s="24" t="n">
        <v>0</v>
      </c>
      <c r="K481" s="24" t="n">
        <v>0</v>
      </c>
      <c r="L481" s="24" t="n">
        <v>0</v>
      </c>
      <c r="M481" s="6" t="s">
        <f>=I481+J481+K481+L481</f>
      </c>
      <c r="N481" s="24"/>
      <c r="O481" s="22"/>
    </row>
    <row collapsed="false" customFormat="false" customHeight="false" hidden="false" ht="12.1" outlineLevel="0" r="482">
      <c r="A482" s="21" t="n">
        <v>45418.454618056</v>
      </c>
      <c r="B482" s="22" t="s">
        <v>1056</v>
      </c>
      <c r="C482" s="22" t="s">
        <v>350</v>
      </c>
      <c r="D482" s="22" t="s">
        <v>1056</v>
      </c>
      <c r="E482" s="22" t="s">
        <v>1056</v>
      </c>
      <c r="F482" s="22" t="s">
        <v>19</v>
      </c>
      <c r="G482" s="23" t="n">
        <v>1</v>
      </c>
      <c r="H482" s="24" t="n">
        <v>1</v>
      </c>
      <c r="I482" s="24" t="n">
        <v>11000</v>
      </c>
      <c r="J482" s="24" t="n">
        <v>0</v>
      </c>
      <c r="K482" s="24" t="n">
        <v>0</v>
      </c>
      <c r="L482" s="24" t="n">
        <v>0</v>
      </c>
      <c r="M482" s="6" t="s">
        <f>=I482+J482+K482+L482</f>
      </c>
      <c r="N482" s="24"/>
      <c r="O482" s="22"/>
    </row>
    <row collapsed="false" customFormat="false" customHeight="false" hidden="false" ht="12.1" outlineLevel="0" r="483">
      <c r="A483" s="20" t="n">
        <v>45418.464780093</v>
      </c>
      <c r="B483" s="16" t="s">
        <v>16</v>
      </c>
      <c r="C483" s="16" t="s">
        <v>1112</v>
      </c>
      <c r="D483" s="16" t="s">
        <v>912</v>
      </c>
      <c r="E483" s="16" t="s">
        <v>17</v>
      </c>
      <c r="F483" s="16" t="s">
        <v>19</v>
      </c>
      <c r="G483" s="7" t="n">
        <v>10</v>
      </c>
      <c r="H483" s="6" t="n">
        <v>307.32</v>
      </c>
      <c r="I483" s="6" t="n">
        <v>-3073.2</v>
      </c>
      <c r="J483" s="6" t="n">
        <v>0</v>
      </c>
      <c r="K483" s="6" t="n">
        <v>-9.22</v>
      </c>
      <c r="L483" s="6" t="n">
        <v>0</v>
      </c>
      <c r="M483" s="6" t="s">
        <f>=I483+J483+K483+L483</f>
      </c>
      <c r="N483" s="6"/>
      <c r="O483" s="16"/>
    </row>
    <row collapsed="false" customFormat="false" customHeight="false" hidden="false" ht="12.1" outlineLevel="0" r="484">
      <c r="A484" s="20" t="n">
        <v>45418.465219907</v>
      </c>
      <c r="B484" s="16" t="s">
        <v>33</v>
      </c>
      <c r="C484" s="16" t="s">
        <v>1078</v>
      </c>
      <c r="D484" s="16" t="s">
        <v>912</v>
      </c>
      <c r="E484" s="16" t="s">
        <v>17</v>
      </c>
      <c r="F484" s="16" t="s">
        <v>19</v>
      </c>
      <c r="G484" s="7" t="n">
        <v>10</v>
      </c>
      <c r="H484" s="6" t="n">
        <v>155.44</v>
      </c>
      <c r="I484" s="6" t="n">
        <v>-1554.4</v>
      </c>
      <c r="J484" s="6" t="n">
        <v>0</v>
      </c>
      <c r="K484" s="6" t="n">
        <v>-4.66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20" t="n">
        <v>45418.465590278</v>
      </c>
      <c r="B485" s="16" t="s">
        <v>33</v>
      </c>
      <c r="C485" s="16" t="s">
        <v>1078</v>
      </c>
      <c r="D485" s="16" t="s">
        <v>912</v>
      </c>
      <c r="E485" s="16" t="s">
        <v>17</v>
      </c>
      <c r="F485" s="16" t="s">
        <v>19</v>
      </c>
      <c r="G485" s="7" t="n">
        <v>10</v>
      </c>
      <c r="H485" s="6" t="n">
        <v>155.41</v>
      </c>
      <c r="I485" s="6" t="n">
        <v>-1554.1</v>
      </c>
      <c r="J485" s="6" t="n">
        <v>0</v>
      </c>
      <c r="K485" s="6" t="n">
        <v>-4.66</v>
      </c>
      <c r="L485" s="6" t="n">
        <v>0</v>
      </c>
      <c r="M485" s="6" t="s">
        <f>=I485+J485+K485+L485</f>
      </c>
      <c r="N485" s="6"/>
      <c r="O485" s="16"/>
    </row>
    <row collapsed="false" customFormat="false" customHeight="false" hidden="false" ht="12.1" outlineLevel="0" r="486">
      <c r="A486" s="20" t="n">
        <v>45418.466076389</v>
      </c>
      <c r="B486" s="16" t="s">
        <v>65</v>
      </c>
      <c r="C486" s="16" t="s">
        <v>1213</v>
      </c>
      <c r="D486" s="16" t="s">
        <v>912</v>
      </c>
      <c r="E486" s="16" t="s">
        <v>17</v>
      </c>
      <c r="F486" s="16" t="s">
        <v>19</v>
      </c>
      <c r="G486" s="7" t="n">
        <v>10</v>
      </c>
      <c r="H486" s="6" t="n">
        <v>153.66</v>
      </c>
      <c r="I486" s="6" t="n">
        <v>-1536.6</v>
      </c>
      <c r="J486" s="6" t="n">
        <v>0</v>
      </c>
      <c r="K486" s="6" t="n">
        <v>-4.61</v>
      </c>
      <c r="L486" s="6" t="n">
        <v>0</v>
      </c>
      <c r="M486" s="6" t="s">
        <f>=I486+J486+K486+L486</f>
      </c>
      <c r="N486" s="6"/>
      <c r="O486" s="16"/>
    </row>
    <row collapsed="false" customFormat="false" customHeight="false" hidden="false" ht="12.1" outlineLevel="0" r="487">
      <c r="A487" s="20" t="n">
        <v>45418.466493056</v>
      </c>
      <c r="B487" s="16" t="s">
        <v>30</v>
      </c>
      <c r="C487" s="16" t="s">
        <v>1116</v>
      </c>
      <c r="D487" s="16" t="s">
        <v>912</v>
      </c>
      <c r="E487" s="16" t="s">
        <v>17</v>
      </c>
      <c r="F487" s="16" t="s">
        <v>19</v>
      </c>
      <c r="G487" s="7" t="n">
        <v>10</v>
      </c>
      <c r="H487" s="6" t="n">
        <v>306.91</v>
      </c>
      <c r="I487" s="6" t="n">
        <v>-3069.1</v>
      </c>
      <c r="J487" s="6" t="n">
        <v>0</v>
      </c>
      <c r="K487" s="6" t="n">
        <v>-9.21</v>
      </c>
      <c r="L487" s="6" t="n">
        <v>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45418.466840278</v>
      </c>
      <c r="B488" s="16" t="s">
        <v>48</v>
      </c>
      <c r="C488" s="16" t="s">
        <v>1076</v>
      </c>
      <c r="D488" s="16" t="s">
        <v>912</v>
      </c>
      <c r="E488" s="16" t="s">
        <v>17</v>
      </c>
      <c r="F488" s="16" t="s">
        <v>19</v>
      </c>
      <c r="G488" s="7" t="n">
        <v>2</v>
      </c>
      <c r="H488" s="6" t="n">
        <v>834.9</v>
      </c>
      <c r="I488" s="6" t="n">
        <v>-1669.8</v>
      </c>
      <c r="J488" s="6" t="n">
        <v>0</v>
      </c>
      <c r="K488" s="6" t="n">
        <v>-5.01</v>
      </c>
      <c r="L488" s="6" t="n">
        <v>0</v>
      </c>
      <c r="M488" s="6" t="s">
        <f>=I488+J488+K488+L488</f>
      </c>
      <c r="N488" s="6"/>
      <c r="O488" s="16"/>
    </row>
    <row collapsed="false" customFormat="false" customHeight="false" hidden="false" ht="12.1" outlineLevel="0" r="489">
      <c r="A489" s="21" t="n">
        <v>45428.461145833</v>
      </c>
      <c r="B489" s="22" t="s">
        <v>1063</v>
      </c>
      <c r="C489" s="22" t="s">
        <v>1102</v>
      </c>
      <c r="D489" s="22" t="s">
        <v>1063</v>
      </c>
      <c r="E489" s="22" t="s">
        <v>1063</v>
      </c>
      <c r="F489" s="22" t="s">
        <v>19</v>
      </c>
      <c r="G489" s="23" t="n">
        <v>1</v>
      </c>
      <c r="H489" s="24" t="n">
        <v>1</v>
      </c>
      <c r="I489" s="24" t="n">
        <v>173.52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4"/>
      <c r="O489" s="22"/>
    </row>
    <row collapsed="false" customFormat="false" customHeight="false" hidden="false" ht="12.1" outlineLevel="0" r="490">
      <c r="A490" s="21" t="n">
        <v>45428.524108796</v>
      </c>
      <c r="B490" s="22" t="s">
        <v>1063</v>
      </c>
      <c r="C490" s="22" t="s">
        <v>1214</v>
      </c>
      <c r="D490" s="22" t="s">
        <v>1063</v>
      </c>
      <c r="E490" s="22" t="s">
        <v>1063</v>
      </c>
      <c r="F490" s="22" t="s">
        <v>19</v>
      </c>
      <c r="G490" s="23" t="n">
        <v>1</v>
      </c>
      <c r="H490" s="24" t="n">
        <v>1</v>
      </c>
      <c r="I490" s="24" t="n">
        <v>4.67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4"/>
      <c r="O490" s="22"/>
    </row>
    <row collapsed="false" customFormat="false" customHeight="false" hidden="false" ht="12.1" outlineLevel="0" r="491">
      <c r="A491" s="21" t="n">
        <v>45433.579652778</v>
      </c>
      <c r="B491" s="22" t="s">
        <v>1073</v>
      </c>
      <c r="C491" s="22" t="s">
        <v>1215</v>
      </c>
      <c r="D491" s="22" t="s">
        <v>1073</v>
      </c>
      <c r="E491" s="22" t="s">
        <v>1073</v>
      </c>
      <c r="F491" s="22" t="s">
        <v>19</v>
      </c>
      <c r="G491" s="23" t="n">
        <v>1</v>
      </c>
      <c r="H491" s="24" t="n">
        <v>1</v>
      </c>
      <c r="I491" s="24" t="n">
        <v>300</v>
      </c>
      <c r="J491" s="24" t="n">
        <v>0</v>
      </c>
      <c r="K491" s="24" t="n">
        <v>0</v>
      </c>
      <c r="L491" s="24" t="n">
        <v>0</v>
      </c>
      <c r="M491" s="6" t="s">
        <f>=I491+J491+K491+L491</f>
      </c>
      <c r="N491" s="24"/>
      <c r="O491" s="22"/>
    </row>
    <row collapsed="false" customFormat="false" customHeight="false" hidden="false" ht="12.1" outlineLevel="0" r="492">
      <c r="A492" s="21" t="n">
        <v>45433.580532407</v>
      </c>
      <c r="B492" s="22" t="s">
        <v>1063</v>
      </c>
      <c r="C492" s="22" t="s">
        <v>1137</v>
      </c>
      <c r="D492" s="22" t="s">
        <v>1063</v>
      </c>
      <c r="E492" s="22" t="s">
        <v>1063</v>
      </c>
      <c r="F492" s="22" t="s">
        <v>19</v>
      </c>
      <c r="G492" s="23" t="n">
        <v>1</v>
      </c>
      <c r="H492" s="24" t="n">
        <v>1</v>
      </c>
      <c r="I492" s="24" t="n">
        <v>64.82</v>
      </c>
      <c r="J492" s="24" t="n">
        <v>0</v>
      </c>
      <c r="K492" s="24" t="n">
        <v>0</v>
      </c>
      <c r="L492" s="24" t="n">
        <v>0</v>
      </c>
      <c r="M492" s="6" t="s">
        <f>=I492+J492+K492+L492</f>
      </c>
      <c r="N492" s="24"/>
      <c r="O492" s="22"/>
    </row>
    <row collapsed="false" customFormat="false" customHeight="false" hidden="false" ht="12.1" outlineLevel="0" r="493">
      <c r="A493" s="21" t="n">
        <v>45435.526087963</v>
      </c>
      <c r="B493" s="22" t="s">
        <v>1063</v>
      </c>
      <c r="C493" s="22" t="s">
        <v>1104</v>
      </c>
      <c r="D493" s="22" t="s">
        <v>1063</v>
      </c>
      <c r="E493" s="22" t="s">
        <v>1063</v>
      </c>
      <c r="F493" s="22" t="s">
        <v>19</v>
      </c>
      <c r="G493" s="23" t="n">
        <v>1</v>
      </c>
      <c r="H493" s="24" t="n">
        <v>1</v>
      </c>
      <c r="I493" s="24" t="n">
        <v>325.35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4"/>
      <c r="O493" s="22"/>
    </row>
    <row collapsed="false" customFormat="false" customHeight="false" hidden="false" ht="12.1" outlineLevel="0" r="494">
      <c r="A494" s="21" t="n">
        <v>45435.662974537</v>
      </c>
      <c r="B494" s="22" t="s">
        <v>1063</v>
      </c>
      <c r="C494" s="22" t="s">
        <v>1207</v>
      </c>
      <c r="D494" s="22" t="s">
        <v>1063</v>
      </c>
      <c r="E494" s="22" t="s">
        <v>1063</v>
      </c>
      <c r="F494" s="22" t="s">
        <v>19</v>
      </c>
      <c r="G494" s="23" t="n">
        <v>1</v>
      </c>
      <c r="H494" s="24" t="n">
        <v>1</v>
      </c>
      <c r="I494" s="24" t="n">
        <v>14.4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4"/>
      <c r="O494" s="22"/>
    </row>
    <row collapsed="false" customFormat="false" customHeight="false" hidden="false" ht="12.1" outlineLevel="0" r="495">
      <c r="A495" s="21" t="n">
        <v>45435.687453704</v>
      </c>
      <c r="B495" s="22" t="s">
        <v>1063</v>
      </c>
      <c r="C495" s="22" t="s">
        <v>1183</v>
      </c>
      <c r="D495" s="22" t="s">
        <v>1063</v>
      </c>
      <c r="E495" s="22" t="s">
        <v>1063</v>
      </c>
      <c r="F495" s="22" t="s">
        <v>19</v>
      </c>
      <c r="G495" s="23" t="n">
        <v>1</v>
      </c>
      <c r="H495" s="24" t="n">
        <v>1</v>
      </c>
      <c r="I495" s="24" t="n">
        <v>81.78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4"/>
      <c r="O495" s="22"/>
    </row>
    <row collapsed="false" customFormat="false" customHeight="false" hidden="false" ht="12.1" outlineLevel="0" r="496">
      <c r="A496" s="21" t="n">
        <v>45435.698819444</v>
      </c>
      <c r="B496" s="22" t="s">
        <v>1063</v>
      </c>
      <c r="C496" s="22" t="s">
        <v>1064</v>
      </c>
      <c r="D496" s="22" t="s">
        <v>1063</v>
      </c>
      <c r="E496" s="22" t="s">
        <v>1063</v>
      </c>
      <c r="F496" s="22" t="s">
        <v>19</v>
      </c>
      <c r="G496" s="23" t="n">
        <v>1</v>
      </c>
      <c r="H496" s="24" t="n">
        <v>1</v>
      </c>
      <c r="I496" s="24" t="n">
        <v>5.36</v>
      </c>
      <c r="J496" s="24" t="n">
        <v>0</v>
      </c>
      <c r="K496" s="24" t="n">
        <v>0</v>
      </c>
      <c r="L496" s="24" t="n">
        <v>0</v>
      </c>
      <c r="M496" s="6" t="s">
        <f>=I496+J496+K496+L496</f>
      </c>
      <c r="N496" s="24"/>
      <c r="O496" s="22"/>
    </row>
    <row collapsed="false" customFormat="false" customHeight="false" hidden="false" ht="12.1" outlineLevel="0" r="497">
      <c r="A497" s="21" t="n">
        <v>45436.507858796</v>
      </c>
      <c r="B497" s="22" t="s">
        <v>1063</v>
      </c>
      <c r="C497" s="22" t="s">
        <v>1142</v>
      </c>
      <c r="D497" s="22" t="s">
        <v>1063</v>
      </c>
      <c r="E497" s="22" t="s">
        <v>1063</v>
      </c>
      <c r="F497" s="22" t="s">
        <v>19</v>
      </c>
      <c r="G497" s="23" t="n">
        <v>1</v>
      </c>
      <c r="H497" s="24" t="n">
        <v>1</v>
      </c>
      <c r="I497" s="24" t="n">
        <v>8.66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4"/>
      <c r="O497" s="22"/>
    </row>
    <row collapsed="false" customFormat="false" customHeight="false" hidden="false" ht="12.1" outlineLevel="0" r="498">
      <c r="A498" s="21" t="n">
        <v>45440.676631944</v>
      </c>
      <c r="B498" s="22" t="s">
        <v>1063</v>
      </c>
      <c r="C498" s="22" t="s">
        <v>1174</v>
      </c>
      <c r="D498" s="22" t="s">
        <v>1063</v>
      </c>
      <c r="E498" s="22" t="s">
        <v>1063</v>
      </c>
      <c r="F498" s="22" t="s">
        <v>19</v>
      </c>
      <c r="G498" s="23" t="n">
        <v>1</v>
      </c>
      <c r="H498" s="24" t="n">
        <v>1</v>
      </c>
      <c r="I498" s="24" t="n">
        <v>29.14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4"/>
      <c r="O498" s="22"/>
    </row>
    <row collapsed="false" customFormat="false" customHeight="false" hidden="false" ht="12.1" outlineLevel="0" r="499">
      <c r="A499" s="21" t="n">
        <v>45442.446111111</v>
      </c>
      <c r="B499" s="22" t="s">
        <v>1063</v>
      </c>
      <c r="C499" s="22" t="s">
        <v>1216</v>
      </c>
      <c r="D499" s="22" t="s">
        <v>1063</v>
      </c>
      <c r="E499" s="22" t="s">
        <v>1063</v>
      </c>
      <c r="F499" s="22" t="s">
        <v>19</v>
      </c>
      <c r="G499" s="23" t="n">
        <v>1</v>
      </c>
      <c r="H499" s="24" t="n">
        <v>1</v>
      </c>
      <c r="I499" s="24" t="n">
        <v>284.22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1" t="n">
        <v>45446.464988426</v>
      </c>
      <c r="B500" s="22" t="s">
        <v>1063</v>
      </c>
      <c r="C500" s="22" t="s">
        <v>1105</v>
      </c>
      <c r="D500" s="22" t="s">
        <v>1063</v>
      </c>
      <c r="E500" s="22" t="s">
        <v>1063</v>
      </c>
      <c r="F500" s="22" t="s">
        <v>19</v>
      </c>
      <c r="G500" s="23" t="n">
        <v>1</v>
      </c>
      <c r="H500" s="24" t="n">
        <v>1</v>
      </c>
      <c r="I500" s="24" t="n">
        <v>24.81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4"/>
      <c r="O500" s="22"/>
    </row>
    <row collapsed="false" customFormat="false" customHeight="false" hidden="false" ht="12.1" outlineLevel="0" r="501">
      <c r="A501" s="21" t="n">
        <v>45446.537881944</v>
      </c>
      <c r="B501" s="22" t="s">
        <v>1056</v>
      </c>
      <c r="C501" s="22" t="s">
        <v>350</v>
      </c>
      <c r="D501" s="22" t="s">
        <v>1056</v>
      </c>
      <c r="E501" s="22" t="s">
        <v>1056</v>
      </c>
      <c r="F501" s="22" t="s">
        <v>19</v>
      </c>
      <c r="G501" s="23" t="n">
        <v>1</v>
      </c>
      <c r="H501" s="24" t="n">
        <v>1</v>
      </c>
      <c r="I501" s="24" t="n">
        <v>11200</v>
      </c>
      <c r="J501" s="24" t="n">
        <v>0</v>
      </c>
      <c r="K501" s="24" t="n">
        <v>0</v>
      </c>
      <c r="L501" s="24" t="n">
        <v>0</v>
      </c>
      <c r="M501" s="6" t="s">
        <f>=I501+J501+K501+L501</f>
      </c>
      <c r="N501" s="24"/>
      <c r="O501" s="22"/>
    </row>
    <row collapsed="false" customFormat="false" customHeight="false" hidden="false" ht="12.1" outlineLevel="0" r="502">
      <c r="A502" s="20" t="n">
        <v>45447.438101852</v>
      </c>
      <c r="B502" s="16" t="s">
        <v>109</v>
      </c>
      <c r="C502" s="16" t="s">
        <v>1067</v>
      </c>
      <c r="D502" s="16" t="s">
        <v>912</v>
      </c>
      <c r="E502" s="16" t="s">
        <v>85</v>
      </c>
      <c r="F502" s="16" t="s">
        <v>19</v>
      </c>
      <c r="G502" s="7" t="n">
        <v>1</v>
      </c>
      <c r="H502" s="6" t="n">
        <v>105.479</v>
      </c>
      <c r="I502" s="6" t="n">
        <v>-1054.79</v>
      </c>
      <c r="J502" s="6" t="n">
        <v>-9.8</v>
      </c>
      <c r="K502" s="6" t="n">
        <v>-3.16</v>
      </c>
      <c r="L502" s="6" t="n">
        <v>0</v>
      </c>
      <c r="M502" s="6" t="s">
        <f>=I502+J502+K502+L502</f>
      </c>
      <c r="N502" s="6"/>
      <c r="O502" s="16"/>
    </row>
    <row collapsed="false" customFormat="false" customHeight="false" hidden="false" ht="12.1" outlineLevel="0" r="503">
      <c r="A503" s="20" t="n">
        <v>45447.438402778</v>
      </c>
      <c r="B503" s="16" t="s">
        <v>142</v>
      </c>
      <c r="C503" s="16" t="s">
        <v>1108</v>
      </c>
      <c r="D503" s="16" t="s">
        <v>912</v>
      </c>
      <c r="E503" s="16" t="s">
        <v>85</v>
      </c>
      <c r="F503" s="16" t="s">
        <v>19</v>
      </c>
      <c r="G503" s="7" t="n">
        <v>1</v>
      </c>
      <c r="H503" s="6" t="n">
        <v>104.665</v>
      </c>
      <c r="I503" s="6" t="n">
        <v>-1046.65</v>
      </c>
      <c r="J503" s="6" t="n">
        <v>-25.3</v>
      </c>
      <c r="K503" s="6" t="n">
        <v>-3.14</v>
      </c>
      <c r="L503" s="6" t="n">
        <v>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0" t="n">
        <v>45447.438657407</v>
      </c>
      <c r="B504" s="16" t="s">
        <v>124</v>
      </c>
      <c r="C504" s="16" t="s">
        <v>1136</v>
      </c>
      <c r="D504" s="16" t="s">
        <v>912</v>
      </c>
      <c r="E504" s="16" t="s">
        <v>85</v>
      </c>
      <c r="F504" s="16" t="s">
        <v>19</v>
      </c>
      <c r="G504" s="7" t="n">
        <v>1</v>
      </c>
      <c r="H504" s="6" t="n">
        <v>73.144</v>
      </c>
      <c r="I504" s="6" t="n">
        <v>-731.44</v>
      </c>
      <c r="J504" s="6" t="n">
        <v>-10.27</v>
      </c>
      <c r="K504" s="6" t="n">
        <v>-2.19</v>
      </c>
      <c r="L504" s="6" t="n">
        <v>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45447.438969907</v>
      </c>
      <c r="B505" s="16" t="s">
        <v>163</v>
      </c>
      <c r="C505" s="16" t="s">
        <v>1200</v>
      </c>
      <c r="D505" s="16" t="s">
        <v>912</v>
      </c>
      <c r="E505" s="16" t="s">
        <v>85</v>
      </c>
      <c r="F505" s="16" t="s">
        <v>19</v>
      </c>
      <c r="G505" s="7" t="n">
        <v>1</v>
      </c>
      <c r="H505" s="6" t="n">
        <v>79.742</v>
      </c>
      <c r="I505" s="6" t="n">
        <v>-797.42</v>
      </c>
      <c r="J505" s="6" t="n">
        <v>-22.44</v>
      </c>
      <c r="K505" s="6" t="n">
        <v>-2.39</v>
      </c>
      <c r="L505" s="6" t="n">
        <v>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0" t="n">
        <v>45447.439293981</v>
      </c>
      <c r="B506" s="16" t="s">
        <v>133</v>
      </c>
      <c r="C506" s="16" t="s">
        <v>1199</v>
      </c>
      <c r="D506" s="16" t="s">
        <v>912</v>
      </c>
      <c r="E506" s="16" t="s">
        <v>85</v>
      </c>
      <c r="F506" s="16" t="s">
        <v>19</v>
      </c>
      <c r="G506" s="7" t="n">
        <v>1</v>
      </c>
      <c r="H506" s="6" t="n">
        <v>73.169</v>
      </c>
      <c r="I506" s="6" t="n">
        <v>-731.69</v>
      </c>
      <c r="J506" s="6" t="n">
        <v>-16.3</v>
      </c>
      <c r="K506" s="6" t="n">
        <v>-2.2</v>
      </c>
      <c r="L506" s="6" t="n">
        <v>0</v>
      </c>
      <c r="M506" s="6" t="s">
        <f>=I506+J506+K506+L506</f>
      </c>
      <c r="N506" s="6"/>
      <c r="O506" s="16"/>
    </row>
    <row collapsed="false" customFormat="false" customHeight="false" hidden="false" ht="12.1" outlineLevel="0" r="507">
      <c r="A507" s="20" t="n">
        <v>45447.439594907</v>
      </c>
      <c r="B507" s="16" t="s">
        <v>127</v>
      </c>
      <c r="C507" s="16" t="s">
        <v>1099</v>
      </c>
      <c r="D507" s="16" t="s">
        <v>912</v>
      </c>
      <c r="E507" s="16" t="s">
        <v>85</v>
      </c>
      <c r="F507" s="16" t="s">
        <v>19</v>
      </c>
      <c r="G507" s="7" t="n">
        <v>1</v>
      </c>
      <c r="H507" s="6" t="n">
        <v>67.554</v>
      </c>
      <c r="I507" s="6" t="n">
        <v>-675.54</v>
      </c>
      <c r="J507" s="6" t="n">
        <v>-13.29</v>
      </c>
      <c r="K507" s="6" t="n">
        <v>-2.03</v>
      </c>
      <c r="L507" s="6" t="n">
        <v>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45447.440115741</v>
      </c>
      <c r="B508" s="16" t="s">
        <v>154</v>
      </c>
      <c r="C508" s="16" t="s">
        <v>1217</v>
      </c>
      <c r="D508" s="16" t="s">
        <v>912</v>
      </c>
      <c r="E508" s="16" t="s">
        <v>85</v>
      </c>
      <c r="F508" s="16" t="s">
        <v>19</v>
      </c>
      <c r="G508" s="7" t="n">
        <v>1</v>
      </c>
      <c r="H508" s="6" t="n">
        <v>66.662</v>
      </c>
      <c r="I508" s="6" t="n">
        <v>-666.62</v>
      </c>
      <c r="J508" s="6" t="n">
        <v>-23.82</v>
      </c>
      <c r="K508" s="6" t="n">
        <v>-2</v>
      </c>
      <c r="L508" s="6" t="n">
        <v>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0" t="n">
        <v>45447.44037037</v>
      </c>
      <c r="B509" s="16" t="s">
        <v>112</v>
      </c>
      <c r="C509" s="16" t="s">
        <v>1110</v>
      </c>
      <c r="D509" s="16" t="s">
        <v>912</v>
      </c>
      <c r="E509" s="16" t="s">
        <v>85</v>
      </c>
      <c r="F509" s="16" t="s">
        <v>19</v>
      </c>
      <c r="G509" s="7" t="n">
        <v>1</v>
      </c>
      <c r="H509" s="6" t="n">
        <v>57.899</v>
      </c>
      <c r="I509" s="6" t="n">
        <v>-578.99</v>
      </c>
      <c r="J509" s="6" t="n">
        <v>-21.48</v>
      </c>
      <c r="K509" s="6" t="n">
        <v>-1.74</v>
      </c>
      <c r="L509" s="6" t="n">
        <v>0</v>
      </c>
      <c r="M509" s="6" t="s">
        <f>=I509+J509+K509+L509</f>
      </c>
      <c r="N509" s="6"/>
      <c r="O509" s="16"/>
    </row>
    <row collapsed="false" customFormat="false" customHeight="false" hidden="false" ht="12.1" outlineLevel="0" r="510">
      <c r="A510" s="20" t="n">
        <v>45447.440636574</v>
      </c>
      <c r="B510" s="16" t="s">
        <v>84</v>
      </c>
      <c r="C510" s="16" t="s">
        <v>1065</v>
      </c>
      <c r="D510" s="16" t="s">
        <v>912</v>
      </c>
      <c r="E510" s="16" t="s">
        <v>85</v>
      </c>
      <c r="F510" s="16" t="s">
        <v>19</v>
      </c>
      <c r="G510" s="7" t="n">
        <v>1</v>
      </c>
      <c r="H510" s="6" t="n">
        <v>54.843</v>
      </c>
      <c r="I510" s="6" t="n">
        <v>-548.43</v>
      </c>
      <c r="J510" s="6" t="n">
        <v>-21.06</v>
      </c>
      <c r="K510" s="6" t="n">
        <v>-1.65</v>
      </c>
      <c r="L510" s="6" t="n">
        <v>0</v>
      </c>
      <c r="M510" s="6" t="s">
        <f>=I510+J510+K510+L510</f>
      </c>
      <c r="N510" s="6"/>
      <c r="O510" s="16"/>
    </row>
    <row collapsed="false" customFormat="false" customHeight="false" hidden="false" ht="12.1" outlineLevel="0" r="511">
      <c r="A511" s="20" t="n">
        <v>45447.441238426</v>
      </c>
      <c r="B511" s="16" t="s">
        <v>91</v>
      </c>
      <c r="C511" s="16" t="s">
        <v>1167</v>
      </c>
      <c r="D511" s="16" t="s">
        <v>912</v>
      </c>
      <c r="E511" s="16" t="s">
        <v>85</v>
      </c>
      <c r="F511" s="16" t="s">
        <v>19</v>
      </c>
      <c r="G511" s="7" t="n">
        <v>1</v>
      </c>
      <c r="H511" s="6" t="n">
        <v>72.299</v>
      </c>
      <c r="I511" s="6" t="n">
        <v>-722.99</v>
      </c>
      <c r="J511" s="6" t="n">
        <v>0</v>
      </c>
      <c r="K511" s="6" t="n">
        <v>-2.17</v>
      </c>
      <c r="L511" s="6" t="n">
        <v>0</v>
      </c>
      <c r="M511" s="6" t="s">
        <f>=I511+J511+K511+L511</f>
      </c>
      <c r="N511" s="6"/>
      <c r="O511" s="16"/>
    </row>
    <row collapsed="false" customFormat="false" customHeight="false" hidden="false" ht="12.1" outlineLevel="0" r="512">
      <c r="A512" s="20" t="n">
        <v>45447.441493056</v>
      </c>
      <c r="B512" s="16" t="s">
        <v>106</v>
      </c>
      <c r="C512" s="16" t="s">
        <v>1100</v>
      </c>
      <c r="D512" s="16" t="s">
        <v>912</v>
      </c>
      <c r="E512" s="16" t="s">
        <v>85</v>
      </c>
      <c r="F512" s="16" t="s">
        <v>19</v>
      </c>
      <c r="G512" s="7" t="n">
        <v>1</v>
      </c>
      <c r="H512" s="6" t="n">
        <v>59.56</v>
      </c>
      <c r="I512" s="6" t="n">
        <v>-595.6</v>
      </c>
      <c r="J512" s="6" t="n">
        <v>-13.29</v>
      </c>
      <c r="K512" s="6" t="n">
        <v>-1.79</v>
      </c>
      <c r="L512" s="6" t="n">
        <v>0</v>
      </c>
      <c r="M512" s="6" t="s">
        <f>=I512+J512+K512+L512</f>
      </c>
      <c r="N512" s="6"/>
      <c r="O512" s="16"/>
    </row>
    <row collapsed="false" customFormat="false" customHeight="false" hidden="false" ht="12.1" outlineLevel="0" r="513">
      <c r="A513" s="20" t="n">
        <v>45447.442083333</v>
      </c>
      <c r="B513" s="16" t="s">
        <v>109</v>
      </c>
      <c r="C513" s="16" t="s">
        <v>1067</v>
      </c>
      <c r="D513" s="16" t="s">
        <v>912</v>
      </c>
      <c r="E513" s="16" t="s">
        <v>85</v>
      </c>
      <c r="F513" s="16" t="s">
        <v>19</v>
      </c>
      <c r="G513" s="7" t="n">
        <v>1</v>
      </c>
      <c r="H513" s="6" t="n">
        <v>105.479</v>
      </c>
      <c r="I513" s="6" t="n">
        <v>-1054.79</v>
      </c>
      <c r="J513" s="6" t="n">
        <v>-9.8</v>
      </c>
      <c r="K513" s="6" t="n">
        <v>-3.16</v>
      </c>
      <c r="L513" s="6" t="n">
        <v>0</v>
      </c>
      <c r="M513" s="6" t="s">
        <f>=I513+J513+K513+L513</f>
      </c>
      <c r="N513" s="6"/>
      <c r="O513" s="16"/>
    </row>
    <row collapsed="false" customFormat="false" customHeight="false" hidden="false" ht="12.1" outlineLevel="0" r="514">
      <c r="A514" s="20" t="n">
        <v>45447.442256944</v>
      </c>
      <c r="B514" s="16" t="s">
        <v>142</v>
      </c>
      <c r="C514" s="16" t="s">
        <v>1108</v>
      </c>
      <c r="D514" s="16" t="s">
        <v>912</v>
      </c>
      <c r="E514" s="16" t="s">
        <v>85</v>
      </c>
      <c r="F514" s="16" t="s">
        <v>19</v>
      </c>
      <c r="G514" s="7" t="n">
        <v>1</v>
      </c>
      <c r="H514" s="6" t="n">
        <v>104.665</v>
      </c>
      <c r="I514" s="6" t="n">
        <v>-1046.65</v>
      </c>
      <c r="J514" s="6" t="n">
        <v>-25.3</v>
      </c>
      <c r="K514" s="6" t="n">
        <v>-3.14</v>
      </c>
      <c r="L514" s="6" t="n">
        <v>0</v>
      </c>
      <c r="M514" s="6" t="s">
        <f>=I514+J514+K514+L514</f>
      </c>
      <c r="N514" s="6"/>
      <c r="O514" s="16"/>
    </row>
    <row collapsed="false" customFormat="false" customHeight="false" hidden="false" ht="12.1" outlineLevel="0" r="515">
      <c r="A515" s="20" t="n">
        <v>45447.442511574</v>
      </c>
      <c r="B515" s="16" t="s">
        <v>124</v>
      </c>
      <c r="C515" s="16" t="s">
        <v>1136</v>
      </c>
      <c r="D515" s="16" t="s">
        <v>912</v>
      </c>
      <c r="E515" s="16" t="s">
        <v>85</v>
      </c>
      <c r="F515" s="16" t="s">
        <v>19</v>
      </c>
      <c r="G515" s="7" t="n">
        <v>1</v>
      </c>
      <c r="H515" s="6" t="n">
        <v>73.142</v>
      </c>
      <c r="I515" s="6" t="n">
        <v>-731.42</v>
      </c>
      <c r="J515" s="6" t="n">
        <v>-10.27</v>
      </c>
      <c r="K515" s="6" t="n">
        <v>-2.19</v>
      </c>
      <c r="L515" s="6" t="n">
        <v>0</v>
      </c>
      <c r="M515" s="6" t="s">
        <f>=I515+J515+K515+L515</f>
      </c>
      <c r="N515" s="6"/>
      <c r="O515" s="16"/>
    </row>
    <row collapsed="false" customFormat="false" customHeight="false" hidden="false" ht="12.1" outlineLevel="0" r="516">
      <c r="A516" s="20" t="n">
        <v>45447.442743056</v>
      </c>
      <c r="B516" s="16" t="s">
        <v>163</v>
      </c>
      <c r="C516" s="16" t="s">
        <v>1200</v>
      </c>
      <c r="D516" s="16" t="s">
        <v>912</v>
      </c>
      <c r="E516" s="16" t="s">
        <v>85</v>
      </c>
      <c r="F516" s="16" t="s">
        <v>19</v>
      </c>
      <c r="G516" s="7" t="n">
        <v>1</v>
      </c>
      <c r="H516" s="6" t="n">
        <v>79.5</v>
      </c>
      <c r="I516" s="6" t="n">
        <v>-795</v>
      </c>
      <c r="J516" s="6" t="n">
        <v>-22.44</v>
      </c>
      <c r="K516" s="6" t="n">
        <v>-2.39</v>
      </c>
      <c r="L516" s="6" t="n">
        <v>0</v>
      </c>
      <c r="M516" s="6" t="s">
        <f>=I516+J516+K516+L516</f>
      </c>
      <c r="N516" s="6"/>
      <c r="O516" s="16"/>
    </row>
    <row collapsed="false" customFormat="false" customHeight="false" hidden="false" ht="12.1" outlineLevel="0" r="517">
      <c r="A517" s="20" t="n">
        <v>45447.442939815</v>
      </c>
      <c r="B517" s="16" t="s">
        <v>133</v>
      </c>
      <c r="C517" s="16" t="s">
        <v>1199</v>
      </c>
      <c r="D517" s="16" t="s">
        <v>912</v>
      </c>
      <c r="E517" s="16" t="s">
        <v>85</v>
      </c>
      <c r="F517" s="16" t="s">
        <v>19</v>
      </c>
      <c r="G517" s="7" t="n">
        <v>1</v>
      </c>
      <c r="H517" s="6" t="n">
        <v>73.102</v>
      </c>
      <c r="I517" s="6" t="n">
        <v>-731.02</v>
      </c>
      <c r="J517" s="6" t="n">
        <v>-16.3</v>
      </c>
      <c r="K517" s="6" t="n">
        <v>-2.19</v>
      </c>
      <c r="L517" s="6" t="n">
        <v>0</v>
      </c>
      <c r="M517" s="6" t="s">
        <f>=I517+J517+K517+L517</f>
      </c>
      <c r="N517" s="6"/>
      <c r="O517" s="16"/>
    </row>
    <row collapsed="false" customFormat="false" customHeight="false" hidden="false" ht="12.1" outlineLevel="0" r="518">
      <c r="A518" s="21" t="n">
        <v>45447.633923611</v>
      </c>
      <c r="B518" s="22" t="s">
        <v>1063</v>
      </c>
      <c r="C518" s="22" t="s">
        <v>1218</v>
      </c>
      <c r="D518" s="22" t="s">
        <v>1063</v>
      </c>
      <c r="E518" s="22" t="s">
        <v>1063</v>
      </c>
      <c r="F518" s="22" t="s">
        <v>19</v>
      </c>
      <c r="G518" s="23" t="n">
        <v>1</v>
      </c>
      <c r="H518" s="24" t="n">
        <v>1</v>
      </c>
      <c r="I518" s="24" t="n">
        <v>19.95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4"/>
      <c r="O518" s="22"/>
    </row>
    <row collapsed="false" customFormat="false" customHeight="false" hidden="false" ht="12.1" outlineLevel="0" r="519">
      <c r="A519" s="21" t="n">
        <v>45448.580787037</v>
      </c>
      <c r="B519" s="22" t="s">
        <v>1063</v>
      </c>
      <c r="C519" s="22" t="s">
        <v>1184</v>
      </c>
      <c r="D519" s="22" t="s">
        <v>1063</v>
      </c>
      <c r="E519" s="22" t="s">
        <v>1063</v>
      </c>
      <c r="F519" s="22" t="s">
        <v>19</v>
      </c>
      <c r="G519" s="23" t="n">
        <v>1</v>
      </c>
      <c r="H519" s="24" t="n">
        <v>1</v>
      </c>
      <c r="I519" s="24" t="n">
        <v>56.1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4"/>
      <c r="O519" s="22"/>
    </row>
    <row collapsed="false" customFormat="false" customHeight="false" hidden="false" ht="12.1" outlineLevel="0" r="520">
      <c r="A520" s="21" t="n">
        <v>45449.425752315</v>
      </c>
      <c r="B520" s="22" t="s">
        <v>1063</v>
      </c>
      <c r="C520" s="22" t="s">
        <v>1150</v>
      </c>
      <c r="D520" s="22" t="s">
        <v>1063</v>
      </c>
      <c r="E520" s="22" t="s">
        <v>1063</v>
      </c>
      <c r="F520" s="22" t="s">
        <v>19</v>
      </c>
      <c r="G520" s="23" t="n">
        <v>1</v>
      </c>
      <c r="H520" s="24" t="n">
        <v>1</v>
      </c>
      <c r="I520" s="24" t="n">
        <v>637.2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4"/>
      <c r="O520" s="22"/>
    </row>
    <row collapsed="false" customFormat="false" customHeight="false" hidden="false" ht="12.1" outlineLevel="0" r="521">
      <c r="A521" s="21" t="n">
        <v>45449.482881944</v>
      </c>
      <c r="B521" s="22" t="s">
        <v>1063</v>
      </c>
      <c r="C521" s="22" t="s">
        <v>1187</v>
      </c>
      <c r="D521" s="22" t="s">
        <v>1063</v>
      </c>
      <c r="E521" s="22" t="s">
        <v>1063</v>
      </c>
      <c r="F521" s="22" t="s">
        <v>19</v>
      </c>
      <c r="G521" s="23" t="n">
        <v>1</v>
      </c>
      <c r="H521" s="24" t="n">
        <v>1</v>
      </c>
      <c r="I521" s="24" t="n">
        <v>390.96</v>
      </c>
      <c r="J521" s="24" t="n">
        <v>0</v>
      </c>
      <c r="K521" s="24" t="n">
        <v>0</v>
      </c>
      <c r="L521" s="24" t="n">
        <v>0</v>
      </c>
      <c r="M521" s="6" t="s">
        <f>=I521+J521+K521+L521</f>
      </c>
      <c r="N521" s="24"/>
      <c r="O521" s="22"/>
    </row>
    <row collapsed="false" customFormat="false" customHeight="false" hidden="false" ht="12.1" outlineLevel="0" r="522">
      <c r="A522" s="21" t="n">
        <v>45449.670300926</v>
      </c>
      <c r="B522" s="22" t="s">
        <v>1063</v>
      </c>
      <c r="C522" s="22" t="s">
        <v>1106</v>
      </c>
      <c r="D522" s="22" t="s">
        <v>1063</v>
      </c>
      <c r="E522" s="22" t="s">
        <v>1063</v>
      </c>
      <c r="F522" s="22" t="s">
        <v>19</v>
      </c>
      <c r="G522" s="23" t="n">
        <v>1</v>
      </c>
      <c r="H522" s="24" t="n">
        <v>1</v>
      </c>
      <c r="I522" s="24" t="n">
        <v>19.87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4"/>
      <c r="O522" s="22"/>
    </row>
    <row collapsed="false" customFormat="false" customHeight="false" hidden="false" ht="12.1" outlineLevel="0" r="523">
      <c r="A523" s="21" t="n">
        <v>45449.671354167</v>
      </c>
      <c r="B523" s="22" t="s">
        <v>1063</v>
      </c>
      <c r="C523" s="22" t="s">
        <v>1149</v>
      </c>
      <c r="D523" s="22" t="s">
        <v>1063</v>
      </c>
      <c r="E523" s="22" t="s">
        <v>1063</v>
      </c>
      <c r="F523" s="22" t="s">
        <v>19</v>
      </c>
      <c r="G523" s="23" t="n">
        <v>1</v>
      </c>
      <c r="H523" s="24" t="n">
        <v>1</v>
      </c>
      <c r="I523" s="24" t="n">
        <v>65.32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4"/>
      <c r="O523" s="22"/>
    </row>
    <row collapsed="false" customFormat="false" customHeight="false" hidden="false" ht="12.1" outlineLevel="0" r="524">
      <c r="A524" s="21" t="n">
        <v>45450.442164352</v>
      </c>
      <c r="B524" s="22" t="s">
        <v>1073</v>
      </c>
      <c r="C524" s="22" t="s">
        <v>1205</v>
      </c>
      <c r="D524" s="22" t="s">
        <v>1073</v>
      </c>
      <c r="E524" s="22" t="s">
        <v>1073</v>
      </c>
      <c r="F524" s="22" t="s">
        <v>19</v>
      </c>
      <c r="G524" s="23" t="n">
        <v>1</v>
      </c>
      <c r="H524" s="24" t="n">
        <v>1</v>
      </c>
      <c r="I524" s="24" t="n">
        <v>67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4"/>
      <c r="O524" s="22"/>
    </row>
    <row collapsed="false" customFormat="false" customHeight="false" hidden="false" ht="12.1" outlineLevel="0" r="525">
      <c r="A525" s="21" t="n">
        <v>45450.444548611</v>
      </c>
      <c r="B525" s="22" t="s">
        <v>1063</v>
      </c>
      <c r="C525" s="22" t="s">
        <v>1206</v>
      </c>
      <c r="D525" s="22" t="s">
        <v>1063</v>
      </c>
      <c r="E525" s="22" t="s">
        <v>1063</v>
      </c>
      <c r="F525" s="22" t="s">
        <v>19</v>
      </c>
      <c r="G525" s="23" t="n">
        <v>1</v>
      </c>
      <c r="H525" s="24" t="n">
        <v>1</v>
      </c>
      <c r="I525" s="24" t="n">
        <v>13.11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1" t="n">
        <v>45456.622650463</v>
      </c>
      <c r="B526" s="22" t="s">
        <v>1063</v>
      </c>
      <c r="C526" s="22" t="s">
        <v>1151</v>
      </c>
      <c r="D526" s="22" t="s">
        <v>1063</v>
      </c>
      <c r="E526" s="22" t="s">
        <v>1063</v>
      </c>
      <c r="F526" s="22" t="s">
        <v>19</v>
      </c>
      <c r="G526" s="23" t="n">
        <v>1</v>
      </c>
      <c r="H526" s="24" t="n">
        <v>1</v>
      </c>
      <c r="I526" s="24" t="n">
        <v>30.12</v>
      </c>
      <c r="J526" s="24" t="n">
        <v>0</v>
      </c>
      <c r="K526" s="24" t="n">
        <v>0</v>
      </c>
      <c r="L526" s="24" t="n">
        <v>0</v>
      </c>
      <c r="M526" s="6" t="s">
        <f>=I526+J526+K526+L526</f>
      </c>
      <c r="N526" s="24"/>
      <c r="O526" s="22"/>
    </row>
    <row collapsed="false" customFormat="false" customHeight="false" hidden="false" ht="12.1" outlineLevel="0" r="527">
      <c r="A527" s="21" t="n">
        <v>45462.718715278</v>
      </c>
      <c r="B527" s="22" t="s">
        <v>1063</v>
      </c>
      <c r="C527" s="22" t="s">
        <v>1152</v>
      </c>
      <c r="D527" s="22" t="s">
        <v>1063</v>
      </c>
      <c r="E527" s="22" t="s">
        <v>1063</v>
      </c>
      <c r="F527" s="22" t="s">
        <v>19</v>
      </c>
      <c r="G527" s="23" t="n">
        <v>1</v>
      </c>
      <c r="H527" s="24" t="n">
        <v>1</v>
      </c>
      <c r="I527" s="24" t="n">
        <v>326</v>
      </c>
      <c r="J527" s="24" t="n">
        <v>0</v>
      </c>
      <c r="K527" s="24" t="n">
        <v>0</v>
      </c>
      <c r="L527" s="24" t="n">
        <v>0</v>
      </c>
      <c r="M527" s="6" t="s">
        <f>=I527+J527+K527+L527</f>
      </c>
      <c r="N527" s="24"/>
      <c r="O527" s="22"/>
    </row>
    <row collapsed="false" customFormat="false" customHeight="false" hidden="false" ht="12.1" outlineLevel="0" r="528">
      <c r="A528" s="25" t="n">
        <v>45462.718715278</v>
      </c>
      <c r="B528" s="26" t="s">
        <v>1089</v>
      </c>
      <c r="C528" s="26" t="s">
        <v>1153</v>
      </c>
      <c r="D528" s="26" t="s">
        <v>1089</v>
      </c>
      <c r="E528" s="26" t="s">
        <v>1089</v>
      </c>
      <c r="F528" s="26" t="s">
        <v>19</v>
      </c>
      <c r="G528" s="27" t="n">
        <v>1</v>
      </c>
      <c r="H528" s="28" t="n">
        <v>-43</v>
      </c>
      <c r="I528" s="28" t="n">
        <v>-43</v>
      </c>
      <c r="J528" s="28" t="n">
        <v>0</v>
      </c>
      <c r="K528" s="28" t="n">
        <v>0</v>
      </c>
      <c r="L528" s="28" t="n">
        <v>0</v>
      </c>
      <c r="M528" s="6" t="s">
        <f>=I528+J528+K528+L528</f>
      </c>
      <c r="N528" s="28"/>
      <c r="O528" s="26"/>
    </row>
    <row collapsed="false" customFormat="false" customHeight="false" hidden="false" ht="12.1" outlineLevel="0" r="529">
      <c r="A529" s="21" t="n">
        <v>45463.543993056</v>
      </c>
      <c r="B529" s="22" t="s">
        <v>1063</v>
      </c>
      <c r="C529" s="22" t="s">
        <v>1113</v>
      </c>
      <c r="D529" s="22" t="s">
        <v>1063</v>
      </c>
      <c r="E529" s="22" t="s">
        <v>1063</v>
      </c>
      <c r="F529" s="22" t="s">
        <v>19</v>
      </c>
      <c r="G529" s="23" t="n">
        <v>1</v>
      </c>
      <c r="H529" s="24" t="n">
        <v>1</v>
      </c>
      <c r="I529" s="24" t="n">
        <v>460.39</v>
      </c>
      <c r="J529" s="24" t="n">
        <v>0</v>
      </c>
      <c r="K529" s="24" t="n">
        <v>0</v>
      </c>
      <c r="L529" s="24" t="n">
        <v>0</v>
      </c>
      <c r="M529" s="6" t="s">
        <f>=I529+J529+K529+L529</f>
      </c>
      <c r="N529" s="24"/>
      <c r="O529" s="22"/>
    </row>
    <row collapsed="false" customFormat="false" customHeight="false" hidden="false" ht="12.1" outlineLevel="0" r="530">
      <c r="A530" s="21" t="n">
        <v>45468.571076389</v>
      </c>
      <c r="B530" s="22" t="s">
        <v>1063</v>
      </c>
      <c r="C530" s="22" t="s">
        <v>1207</v>
      </c>
      <c r="D530" s="22" t="s">
        <v>1063</v>
      </c>
      <c r="E530" s="22" t="s">
        <v>1063</v>
      </c>
      <c r="F530" s="22" t="s">
        <v>19</v>
      </c>
      <c r="G530" s="23" t="n">
        <v>1</v>
      </c>
      <c r="H530" s="24" t="n">
        <v>1</v>
      </c>
      <c r="I530" s="24" t="n">
        <v>14.58</v>
      </c>
      <c r="J530" s="24" t="n">
        <v>0</v>
      </c>
      <c r="K530" s="24" t="n">
        <v>0</v>
      </c>
      <c r="L530" s="24" t="n">
        <v>0</v>
      </c>
      <c r="M530" s="6" t="s">
        <f>=I530+J530+K530+L530</f>
      </c>
      <c r="N530" s="24"/>
      <c r="O530" s="22"/>
    </row>
    <row collapsed="false" customFormat="false" customHeight="false" hidden="false" ht="12.1" outlineLevel="0" r="531">
      <c r="A531" s="21" t="n">
        <v>45468.689965278</v>
      </c>
      <c r="B531" s="22" t="s">
        <v>1063</v>
      </c>
      <c r="C531" s="22" t="s">
        <v>1219</v>
      </c>
      <c r="D531" s="22" t="s">
        <v>1063</v>
      </c>
      <c r="E531" s="22" t="s">
        <v>1063</v>
      </c>
      <c r="F531" s="22" t="s">
        <v>19</v>
      </c>
      <c r="G531" s="23" t="n">
        <v>1</v>
      </c>
      <c r="H531" s="24" t="n">
        <v>1</v>
      </c>
      <c r="I531" s="24" t="n">
        <v>82.56</v>
      </c>
      <c r="J531" s="24" t="n">
        <v>0</v>
      </c>
      <c r="K531" s="24" t="n">
        <v>0</v>
      </c>
      <c r="L531" s="24" t="n">
        <v>0</v>
      </c>
      <c r="M531" s="6" t="s">
        <f>=I531+J531+K531+L531</f>
      </c>
      <c r="N531" s="24"/>
      <c r="O531" s="22"/>
    </row>
    <row collapsed="false" customFormat="false" customHeight="false" hidden="false" ht="12.1" outlineLevel="0" r="532">
      <c r="A532" s="25" t="n">
        <v>45468.689965278</v>
      </c>
      <c r="B532" s="26" t="s">
        <v>1089</v>
      </c>
      <c r="C532" s="26" t="s">
        <v>1220</v>
      </c>
      <c r="D532" s="26" t="s">
        <v>1089</v>
      </c>
      <c r="E532" s="26" t="s">
        <v>1089</v>
      </c>
      <c r="F532" s="26" t="s">
        <v>19</v>
      </c>
      <c r="G532" s="27" t="n">
        <v>1</v>
      </c>
      <c r="H532" s="28" t="n">
        <v>-10</v>
      </c>
      <c r="I532" s="28" t="n">
        <v>-10</v>
      </c>
      <c r="J532" s="28" t="n">
        <v>0</v>
      </c>
      <c r="K532" s="28" t="n">
        <v>0</v>
      </c>
      <c r="L532" s="28" t="n">
        <v>0</v>
      </c>
      <c r="M532" s="6" t="s">
        <f>=I532+J532+K532+L532</f>
      </c>
      <c r="N532" s="28"/>
      <c r="O532" s="26"/>
    </row>
    <row collapsed="false" customFormat="false" customHeight="false" hidden="false" ht="12.1" outlineLevel="0" r="533">
      <c r="A533" s="21" t="n">
        <v>45469.47349537</v>
      </c>
      <c r="B533" s="22" t="s">
        <v>1073</v>
      </c>
      <c r="C533" s="22" t="s">
        <v>1175</v>
      </c>
      <c r="D533" s="22" t="s">
        <v>1073</v>
      </c>
      <c r="E533" s="22" t="s">
        <v>1073</v>
      </c>
      <c r="F533" s="22" t="s">
        <v>19</v>
      </c>
      <c r="G533" s="23" t="n">
        <v>1</v>
      </c>
      <c r="H533" s="24" t="n">
        <v>1</v>
      </c>
      <c r="I533" s="24" t="n">
        <v>150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4"/>
      <c r="O533" s="22"/>
    </row>
    <row collapsed="false" customFormat="false" customHeight="false" hidden="false" ht="12.1" outlineLevel="0" r="534">
      <c r="A534" s="21" t="n">
        <v>45469.475659722</v>
      </c>
      <c r="B534" s="22" t="s">
        <v>1063</v>
      </c>
      <c r="C534" s="22" t="s">
        <v>1176</v>
      </c>
      <c r="D534" s="22" t="s">
        <v>1063</v>
      </c>
      <c r="E534" s="22" t="s">
        <v>1063</v>
      </c>
      <c r="F534" s="22" t="s">
        <v>19</v>
      </c>
      <c r="G534" s="23" t="n">
        <v>1</v>
      </c>
      <c r="H534" s="24" t="n">
        <v>1</v>
      </c>
      <c r="I534" s="24" t="n">
        <v>15.71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4"/>
      <c r="O534" s="22"/>
    </row>
    <row collapsed="false" customFormat="false" customHeight="false" hidden="false" ht="12.1" outlineLevel="0" r="535">
      <c r="A535" s="21" t="n">
        <v>45469.590925926</v>
      </c>
      <c r="B535" s="22" t="s">
        <v>1063</v>
      </c>
      <c r="C535" s="22" t="s">
        <v>1174</v>
      </c>
      <c r="D535" s="22" t="s">
        <v>1063</v>
      </c>
      <c r="E535" s="22" t="s">
        <v>1063</v>
      </c>
      <c r="F535" s="22" t="s">
        <v>19</v>
      </c>
      <c r="G535" s="23" t="n">
        <v>1</v>
      </c>
      <c r="H535" s="24" t="n">
        <v>1</v>
      </c>
      <c r="I535" s="24" t="n">
        <v>29.52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4"/>
      <c r="O535" s="22"/>
    </row>
    <row collapsed="false" customFormat="false" customHeight="false" hidden="false" ht="12.1" outlineLevel="0" r="536">
      <c r="A536" s="21" t="n">
        <v>45471.381203704</v>
      </c>
      <c r="B536" s="22" t="s">
        <v>1056</v>
      </c>
      <c r="C536" s="22" t="s">
        <v>350</v>
      </c>
      <c r="D536" s="22" t="s">
        <v>1056</v>
      </c>
      <c r="E536" s="22" t="s">
        <v>1056</v>
      </c>
      <c r="F536" s="22" t="s">
        <v>19</v>
      </c>
      <c r="G536" s="23" t="n">
        <v>1</v>
      </c>
      <c r="H536" s="24" t="n">
        <v>1</v>
      </c>
      <c r="I536" s="24" t="n">
        <v>11200</v>
      </c>
      <c r="J536" s="24" t="n">
        <v>0</v>
      </c>
      <c r="K536" s="24" t="n">
        <v>0</v>
      </c>
      <c r="L536" s="24" t="n">
        <v>0</v>
      </c>
      <c r="M536" s="6" t="s">
        <f>=I536+J536+K536+L536</f>
      </c>
      <c r="N536" s="24"/>
      <c r="O536" s="22"/>
    </row>
    <row collapsed="false" customFormat="false" customHeight="false" hidden="false" ht="12.1" outlineLevel="0" r="537">
      <c r="A537" s="20" t="n">
        <v>45471.623935185</v>
      </c>
      <c r="B537" s="16" t="s">
        <v>79</v>
      </c>
      <c r="C537" s="16" t="s">
        <v>1221</v>
      </c>
      <c r="D537" s="16" t="s">
        <v>912</v>
      </c>
      <c r="E537" s="16" t="s">
        <v>17</v>
      </c>
      <c r="F537" s="16" t="s">
        <v>19</v>
      </c>
      <c r="G537" s="7" t="n">
        <v>10</v>
      </c>
      <c r="H537" s="6" t="n">
        <v>42.055</v>
      </c>
      <c r="I537" s="6" t="n">
        <v>-420.55</v>
      </c>
      <c r="J537" s="6" t="n">
        <v>0</v>
      </c>
      <c r="K537" s="6" t="n">
        <v>-1.26</v>
      </c>
      <c r="L537" s="6" t="n">
        <v>0</v>
      </c>
      <c r="M537" s="6" t="s">
        <f>=I537+J537+K537+L537</f>
      </c>
      <c r="N537" s="6"/>
      <c r="O537" s="16"/>
    </row>
    <row collapsed="false" customFormat="false" customHeight="false" hidden="false" ht="12.1" outlineLevel="0" r="538">
      <c r="A538" s="20" t="n">
        <v>45471.624351852</v>
      </c>
      <c r="B538" s="16" t="s">
        <v>81</v>
      </c>
      <c r="C538" s="16" t="s">
        <v>1222</v>
      </c>
      <c r="D538" s="16" t="s">
        <v>912</v>
      </c>
      <c r="E538" s="16" t="s">
        <v>17</v>
      </c>
      <c r="F538" s="16" t="s">
        <v>19</v>
      </c>
      <c r="G538" s="7" t="n">
        <v>10</v>
      </c>
      <c r="H538" s="6" t="n">
        <v>70.51</v>
      </c>
      <c r="I538" s="6" t="n">
        <v>-705.1</v>
      </c>
      <c r="J538" s="6" t="n">
        <v>0</v>
      </c>
      <c r="K538" s="6" t="n">
        <v>-2.12</v>
      </c>
      <c r="L538" s="6" t="n">
        <v>0</v>
      </c>
      <c r="M538" s="6" t="s">
        <f>=I538+J538+K538+L538</f>
      </c>
      <c r="N538" s="6"/>
      <c r="O538" s="16"/>
    </row>
    <row collapsed="false" customFormat="false" customHeight="false" hidden="false" ht="12.1" outlineLevel="0" r="539">
      <c r="A539" s="20" t="n">
        <v>45471.624768519</v>
      </c>
      <c r="B539" s="16" t="s">
        <v>936</v>
      </c>
      <c r="C539" s="16" t="s">
        <v>1223</v>
      </c>
      <c r="D539" s="16" t="s">
        <v>912</v>
      </c>
      <c r="E539" s="16" t="s">
        <v>17</v>
      </c>
      <c r="F539" s="16" t="s">
        <v>19</v>
      </c>
      <c r="G539" s="7" t="n">
        <v>1000</v>
      </c>
      <c r="H539" s="6" t="n">
        <v>3.1295</v>
      </c>
      <c r="I539" s="6" t="n">
        <v>-3129.5</v>
      </c>
      <c r="J539" s="6" t="n">
        <v>0</v>
      </c>
      <c r="K539" s="6" t="n">
        <v>-9.39</v>
      </c>
      <c r="L539" s="6" t="n">
        <v>0</v>
      </c>
      <c r="M539" s="6" t="s">
        <f>=I539+J539+K539+L539</f>
      </c>
      <c r="N539" s="6"/>
      <c r="O539" s="16"/>
    </row>
    <row collapsed="false" customFormat="false" customHeight="false" hidden="false" ht="12.1" outlineLevel="0" r="540">
      <c r="A540" s="20" t="n">
        <v>45471.634895833</v>
      </c>
      <c r="B540" s="16" t="s">
        <v>202</v>
      </c>
      <c r="C540" s="16" t="s">
        <v>1224</v>
      </c>
      <c r="D540" s="16" t="s">
        <v>912</v>
      </c>
      <c r="E540" s="16" t="s">
        <v>85</v>
      </c>
      <c r="F540" s="16" t="s">
        <v>19</v>
      </c>
      <c r="G540" s="7" t="n">
        <v>1</v>
      </c>
      <c r="H540" s="6" t="n">
        <v>101.27</v>
      </c>
      <c r="I540" s="6" t="n">
        <v>-1012.7</v>
      </c>
      <c r="J540" s="6" t="n">
        <v>-0.93999999999994</v>
      </c>
      <c r="K540" s="6" t="n">
        <v>-3.04</v>
      </c>
      <c r="L540" s="6" t="n">
        <v>0</v>
      </c>
      <c r="M540" s="6" t="s">
        <f>=I540+J540+K540+L540</f>
      </c>
      <c r="N540" s="6"/>
      <c r="O540" s="16"/>
    </row>
    <row collapsed="false" customFormat="false" customHeight="false" hidden="false" ht="12.1" outlineLevel="0" r="541">
      <c r="A541" s="20" t="n">
        <v>45471.6353125</v>
      </c>
      <c r="B541" s="16" t="s">
        <v>112</v>
      </c>
      <c r="C541" s="16" t="s">
        <v>1110</v>
      </c>
      <c r="D541" s="16" t="s">
        <v>912</v>
      </c>
      <c r="E541" s="16" t="s">
        <v>85</v>
      </c>
      <c r="F541" s="16" t="s">
        <v>19</v>
      </c>
      <c r="G541" s="7" t="n">
        <v>1</v>
      </c>
      <c r="H541" s="6" t="n">
        <v>56.589</v>
      </c>
      <c r="I541" s="6" t="n">
        <v>-565.89</v>
      </c>
      <c r="J541" s="6" t="n">
        <v>-26.46</v>
      </c>
      <c r="K541" s="6" t="n">
        <v>-1.7</v>
      </c>
      <c r="L541" s="6" t="n">
        <v>0</v>
      </c>
      <c r="M541" s="6" t="s">
        <f>=I541+J541+K541+L541</f>
      </c>
      <c r="N541" s="6"/>
      <c r="O541" s="16"/>
    </row>
    <row collapsed="false" customFormat="false" customHeight="false" hidden="false" ht="12.1" outlineLevel="0" r="542">
      <c r="A542" s="20" t="n">
        <v>45471.635810185</v>
      </c>
      <c r="B542" s="16" t="s">
        <v>196</v>
      </c>
      <c r="C542" s="16" t="s">
        <v>1201</v>
      </c>
      <c r="D542" s="16" t="s">
        <v>912</v>
      </c>
      <c r="E542" s="16" t="s">
        <v>85</v>
      </c>
      <c r="F542" s="16" t="s">
        <v>19</v>
      </c>
      <c r="G542" s="7" t="n">
        <v>1</v>
      </c>
      <c r="H542" s="6" t="n">
        <v>81.74</v>
      </c>
      <c r="I542" s="6" t="n">
        <v>-817.4</v>
      </c>
      <c r="J542" s="6" t="n">
        <v>-6.14</v>
      </c>
      <c r="K542" s="6" t="n">
        <v>-2.45</v>
      </c>
      <c r="L542" s="6" t="n">
        <v>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45471.638020833</v>
      </c>
      <c r="B543" s="16" t="s">
        <v>226</v>
      </c>
      <c r="C543" s="16" t="s">
        <v>1225</v>
      </c>
      <c r="D543" s="16" t="s">
        <v>912</v>
      </c>
      <c r="E543" s="16" t="s">
        <v>85</v>
      </c>
      <c r="F543" s="16" t="s">
        <v>19</v>
      </c>
      <c r="G543" s="7" t="n">
        <v>1</v>
      </c>
      <c r="H543" s="6" t="n">
        <v>87.15</v>
      </c>
      <c r="I543" s="6" t="n">
        <v>-871.5</v>
      </c>
      <c r="J543" s="6" t="n">
        <v>-19.87</v>
      </c>
      <c r="K543" s="6" t="n">
        <v>-2.61</v>
      </c>
      <c r="L543" s="6" t="n">
        <v>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0" t="n">
        <v>45471.638368056</v>
      </c>
      <c r="B544" s="16" t="s">
        <v>202</v>
      </c>
      <c r="C544" s="16" t="s">
        <v>1224</v>
      </c>
      <c r="D544" s="16" t="s">
        <v>912</v>
      </c>
      <c r="E544" s="16" t="s">
        <v>85</v>
      </c>
      <c r="F544" s="16" t="s">
        <v>19</v>
      </c>
      <c r="G544" s="7" t="n">
        <v>1</v>
      </c>
      <c r="H544" s="6" t="n">
        <v>101.27</v>
      </c>
      <c r="I544" s="6" t="n">
        <v>-1012.7</v>
      </c>
      <c r="J544" s="6" t="n">
        <v>-0.93999999999994</v>
      </c>
      <c r="K544" s="6" t="n">
        <v>-3.04</v>
      </c>
      <c r="L544" s="6" t="n">
        <v>0</v>
      </c>
      <c r="M544" s="6" t="s">
        <f>=I544+J544+K544+L544</f>
      </c>
      <c r="N544" s="6"/>
      <c r="O544" s="16"/>
    </row>
    <row collapsed="false" customFormat="false" customHeight="false" hidden="false" ht="12.1" outlineLevel="0" r="545">
      <c r="A545" s="20" t="n">
        <v>45471.638530093</v>
      </c>
      <c r="B545" s="16" t="s">
        <v>166</v>
      </c>
      <c r="C545" s="16" t="s">
        <v>1226</v>
      </c>
      <c r="D545" s="16" t="s">
        <v>912</v>
      </c>
      <c r="E545" s="16" t="s">
        <v>85</v>
      </c>
      <c r="F545" s="16" t="s">
        <v>19</v>
      </c>
      <c r="G545" s="7" t="n">
        <v>2</v>
      </c>
      <c r="H545" s="6" t="n">
        <v>83.731617034048</v>
      </c>
      <c r="I545" s="6" t="n">
        <v>-2510.86</v>
      </c>
      <c r="J545" s="6" t="n">
        <v>-29.8</v>
      </c>
      <c r="K545" s="6" t="n">
        <v>-7.53</v>
      </c>
      <c r="L545" s="6" t="n">
        <v>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45471.639143519</v>
      </c>
      <c r="B546" s="16" t="s">
        <v>94</v>
      </c>
      <c r="C546" s="16" t="s">
        <v>1107</v>
      </c>
      <c r="D546" s="16" t="s">
        <v>912</v>
      </c>
      <c r="E546" s="16" t="s">
        <v>85</v>
      </c>
      <c r="F546" s="16" t="s">
        <v>19</v>
      </c>
      <c r="G546" s="7" t="n">
        <v>4</v>
      </c>
      <c r="H546" s="6" t="n">
        <v>53.979</v>
      </c>
      <c r="I546" s="6" t="n">
        <v>-2159.16</v>
      </c>
      <c r="J546" s="6" t="n">
        <v>-20.24</v>
      </c>
      <c r="K546" s="6" t="n">
        <v>-6.48</v>
      </c>
      <c r="L546" s="6" t="n">
        <v>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1" t="n">
        <v>45471.675787037</v>
      </c>
      <c r="B547" s="22" t="s">
        <v>1063</v>
      </c>
      <c r="C547" s="22" t="s">
        <v>1155</v>
      </c>
      <c r="D547" s="22" t="s">
        <v>1063</v>
      </c>
      <c r="E547" s="22" t="s">
        <v>1063</v>
      </c>
      <c r="F547" s="22" t="s">
        <v>19</v>
      </c>
      <c r="G547" s="23" t="n">
        <v>1</v>
      </c>
      <c r="H547" s="24" t="n">
        <v>1</v>
      </c>
      <c r="I547" s="24" t="n">
        <v>173.5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4"/>
      <c r="O547" s="22"/>
    </row>
    <row collapsed="false" customFormat="false" customHeight="false" hidden="false" ht="12.1" outlineLevel="0" r="548">
      <c r="A548" s="25" t="n">
        <v>45471.675787037</v>
      </c>
      <c r="B548" s="26" t="s">
        <v>1089</v>
      </c>
      <c r="C548" s="26" t="s">
        <v>1156</v>
      </c>
      <c r="D548" s="26" t="s">
        <v>1089</v>
      </c>
      <c r="E548" s="26" t="s">
        <v>1089</v>
      </c>
      <c r="F548" s="26" t="s">
        <v>19</v>
      </c>
      <c r="G548" s="27" t="n">
        <v>1</v>
      </c>
      <c r="H548" s="28" t="n">
        <v>-23</v>
      </c>
      <c r="I548" s="28" t="n">
        <v>-23</v>
      </c>
      <c r="J548" s="28" t="n">
        <v>0</v>
      </c>
      <c r="K548" s="28" t="n">
        <v>0</v>
      </c>
      <c r="L548" s="28" t="n">
        <v>0</v>
      </c>
      <c r="M548" s="6" t="s">
        <f>=I548+J548+K548+L548</f>
      </c>
      <c r="N548" s="28"/>
      <c r="O548" s="26"/>
    </row>
    <row collapsed="false" customFormat="false" customHeight="false" hidden="false" ht="12.1" outlineLevel="0" r="549">
      <c r="A549" s="21" t="n">
        <v>45474.457997685</v>
      </c>
      <c r="B549" s="22" t="s">
        <v>1073</v>
      </c>
      <c r="C549" s="22" t="s">
        <v>1227</v>
      </c>
      <c r="D549" s="22" t="s">
        <v>1073</v>
      </c>
      <c r="E549" s="22" t="s">
        <v>1073</v>
      </c>
      <c r="F549" s="22" t="s">
        <v>19</v>
      </c>
      <c r="G549" s="23" t="n">
        <v>1</v>
      </c>
      <c r="H549" s="24" t="n">
        <v>1</v>
      </c>
      <c r="I549" s="24" t="n">
        <v>400</v>
      </c>
      <c r="J549" s="24" t="n">
        <v>0</v>
      </c>
      <c r="K549" s="24" t="n">
        <v>0</v>
      </c>
      <c r="L549" s="24" t="n">
        <v>0</v>
      </c>
      <c r="M549" s="6" t="s">
        <f>=I549+J549+K549+L549</f>
      </c>
      <c r="N549" s="24"/>
      <c r="O549" s="22"/>
    </row>
    <row collapsed="false" customFormat="false" customHeight="false" hidden="false" ht="12.1" outlineLevel="0" r="550">
      <c r="A550" s="21" t="n">
        <v>45474.459525463</v>
      </c>
      <c r="B550" s="22" t="s">
        <v>1063</v>
      </c>
      <c r="C550" s="22" t="s">
        <v>1191</v>
      </c>
      <c r="D550" s="22" t="s">
        <v>1063</v>
      </c>
      <c r="E550" s="22" t="s">
        <v>1063</v>
      </c>
      <c r="F550" s="22" t="s">
        <v>19</v>
      </c>
      <c r="G550" s="23" t="n">
        <v>1</v>
      </c>
      <c r="H550" s="24" t="n">
        <v>1</v>
      </c>
      <c r="I550" s="24" t="n">
        <v>65.82</v>
      </c>
      <c r="J550" s="24" t="n">
        <v>0</v>
      </c>
      <c r="K550" s="24" t="n">
        <v>0</v>
      </c>
      <c r="L550" s="24" t="n">
        <v>0</v>
      </c>
      <c r="M550" s="6" t="s">
        <f>=I550+J550+K550+L550</f>
      </c>
      <c r="N550" s="24"/>
      <c r="O550" s="22"/>
    </row>
    <row collapsed="false" customFormat="false" customHeight="false" hidden="false" ht="12.1" outlineLevel="0" r="551">
      <c r="A551" s="21" t="n">
        <v>45478.594293981</v>
      </c>
      <c r="B551" s="22" t="s">
        <v>1073</v>
      </c>
      <c r="C551" s="22" t="s">
        <v>1074</v>
      </c>
      <c r="D551" s="22" t="s">
        <v>1073</v>
      </c>
      <c r="E551" s="22" t="s">
        <v>1073</v>
      </c>
      <c r="F551" s="22" t="s">
        <v>19</v>
      </c>
      <c r="G551" s="23" t="n">
        <v>1</v>
      </c>
      <c r="H551" s="24" t="n">
        <v>1</v>
      </c>
      <c r="I551" s="24" t="n">
        <v>200</v>
      </c>
      <c r="J551" s="24" t="n">
        <v>0</v>
      </c>
      <c r="K551" s="24" t="n">
        <v>0</v>
      </c>
      <c r="L551" s="24" t="n">
        <v>0</v>
      </c>
      <c r="M551" s="6" t="s">
        <f>=I551+J551+K551+L551</f>
      </c>
      <c r="N551" s="24"/>
      <c r="O551" s="22"/>
    </row>
    <row collapsed="false" customFormat="false" customHeight="false" hidden="false" ht="12.1" outlineLevel="0" r="552">
      <c r="A552" s="21" t="n">
        <v>45478.595763889</v>
      </c>
      <c r="B552" s="22" t="s">
        <v>1063</v>
      </c>
      <c r="C552" s="22" t="s">
        <v>1072</v>
      </c>
      <c r="D552" s="22" t="s">
        <v>1063</v>
      </c>
      <c r="E552" s="22" t="s">
        <v>1063</v>
      </c>
      <c r="F552" s="22" t="s">
        <v>19</v>
      </c>
      <c r="G552" s="23" t="n">
        <v>1</v>
      </c>
      <c r="H552" s="24" t="n">
        <v>1</v>
      </c>
      <c r="I552" s="24" t="n">
        <v>13.96</v>
      </c>
      <c r="J552" s="24" t="n">
        <v>0</v>
      </c>
      <c r="K552" s="24" t="n">
        <v>0</v>
      </c>
      <c r="L552" s="24" t="n">
        <v>0</v>
      </c>
      <c r="M552" s="6" t="s">
        <f>=I552+J552+K552+L552</f>
      </c>
      <c r="N552" s="24"/>
      <c r="O552" s="22"/>
    </row>
    <row collapsed="false" customFormat="false" customHeight="false" hidden="false" ht="12.1" outlineLevel="0" r="553">
      <c r="A553" s="21" t="n">
        <v>45491.395532407</v>
      </c>
      <c r="B553" s="22" t="s">
        <v>1063</v>
      </c>
      <c r="C553" s="22" t="s">
        <v>1194</v>
      </c>
      <c r="D553" s="22" t="s">
        <v>1063</v>
      </c>
      <c r="E553" s="22" t="s">
        <v>1063</v>
      </c>
      <c r="F553" s="22" t="s">
        <v>19</v>
      </c>
      <c r="G553" s="23" t="n">
        <v>1</v>
      </c>
      <c r="H553" s="24" t="n">
        <v>1</v>
      </c>
      <c r="I553" s="24" t="n">
        <v>44.88</v>
      </c>
      <c r="J553" s="24" t="n">
        <v>0</v>
      </c>
      <c r="K553" s="24" t="n">
        <v>0</v>
      </c>
      <c r="L553" s="24" t="n">
        <v>0</v>
      </c>
      <c r="M553" s="6" t="s">
        <f>=I553+J553+K553+L553</f>
      </c>
      <c r="N553" s="24"/>
      <c r="O553" s="22"/>
    </row>
    <row collapsed="false" customFormat="false" customHeight="false" hidden="false" ht="12.1" outlineLevel="0" r="554">
      <c r="A554" s="21" t="n">
        <v>45497.5009375</v>
      </c>
      <c r="B554" s="22" t="s">
        <v>1063</v>
      </c>
      <c r="C554" s="22" t="s">
        <v>1195</v>
      </c>
      <c r="D554" s="22" t="s">
        <v>1063</v>
      </c>
      <c r="E554" s="22" t="s">
        <v>1063</v>
      </c>
      <c r="F554" s="22" t="s">
        <v>19</v>
      </c>
      <c r="G554" s="23" t="n">
        <v>1</v>
      </c>
      <c r="H554" s="24" t="n">
        <v>1</v>
      </c>
      <c r="I554" s="24" t="n">
        <v>34.28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4"/>
      <c r="O554" s="22"/>
    </row>
    <row collapsed="false" customFormat="false" customHeight="false" hidden="false" ht="12.1" outlineLevel="0" r="555">
      <c r="A555" s="21" t="n">
        <v>45497.502847222</v>
      </c>
      <c r="B555" s="22" t="s">
        <v>1063</v>
      </c>
      <c r="C555" s="22" t="s">
        <v>1207</v>
      </c>
      <c r="D555" s="22" t="s">
        <v>1063</v>
      </c>
      <c r="E555" s="22" t="s">
        <v>1063</v>
      </c>
      <c r="F555" s="22" t="s">
        <v>19</v>
      </c>
      <c r="G555" s="23" t="n">
        <v>1</v>
      </c>
      <c r="H555" s="24" t="n">
        <v>1</v>
      </c>
      <c r="I555" s="24" t="n">
        <v>14.59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4"/>
      <c r="O555" s="22"/>
    </row>
    <row collapsed="false" customFormat="false" customHeight="false" hidden="false" ht="12.1" outlineLevel="0" r="556">
      <c r="A556" s="21" t="n">
        <v>45497.565636574</v>
      </c>
      <c r="B556" s="22" t="s">
        <v>1063</v>
      </c>
      <c r="C556" s="22" t="s">
        <v>1228</v>
      </c>
      <c r="D556" s="22" t="s">
        <v>1063</v>
      </c>
      <c r="E556" s="22" t="s">
        <v>1063</v>
      </c>
      <c r="F556" s="22" t="s">
        <v>19</v>
      </c>
      <c r="G556" s="23" t="n">
        <v>1</v>
      </c>
      <c r="H556" s="24" t="n">
        <v>1</v>
      </c>
      <c r="I556" s="24" t="n">
        <v>112.7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4"/>
      <c r="O556" s="22"/>
    </row>
    <row collapsed="false" customFormat="false" customHeight="false" hidden="false" ht="12.1" outlineLevel="0" r="557">
      <c r="A557" s="25" t="n">
        <v>45497.565636574</v>
      </c>
      <c r="B557" s="26" t="s">
        <v>1089</v>
      </c>
      <c r="C557" s="26" t="s">
        <v>1229</v>
      </c>
      <c r="D557" s="26" t="s">
        <v>1089</v>
      </c>
      <c r="E557" s="26" t="s">
        <v>1089</v>
      </c>
      <c r="F557" s="26" t="s">
        <v>19</v>
      </c>
      <c r="G557" s="27" t="n">
        <v>1</v>
      </c>
      <c r="H557" s="28" t="n">
        <v>-15</v>
      </c>
      <c r="I557" s="28" t="n">
        <v>-15</v>
      </c>
      <c r="J557" s="28" t="n">
        <v>0</v>
      </c>
      <c r="K557" s="28" t="n">
        <v>0</v>
      </c>
      <c r="L557" s="28" t="n">
        <v>0</v>
      </c>
      <c r="M557" s="6" t="s">
        <f>=I557+J557+K557+L557</f>
      </c>
      <c r="N557" s="28"/>
      <c r="O557" s="26"/>
    </row>
    <row collapsed="false" customFormat="false" customHeight="false" hidden="false" ht="12.1" outlineLevel="0" r="558">
      <c r="A558" s="21" t="n">
        <v>45497.646493056</v>
      </c>
      <c r="B558" s="22" t="s">
        <v>1063</v>
      </c>
      <c r="C558" s="22" t="s">
        <v>1095</v>
      </c>
      <c r="D558" s="22" t="s">
        <v>1063</v>
      </c>
      <c r="E558" s="22" t="s">
        <v>1063</v>
      </c>
      <c r="F558" s="22" t="s">
        <v>19</v>
      </c>
      <c r="G558" s="23" t="n">
        <v>1</v>
      </c>
      <c r="H558" s="24" t="n">
        <v>1</v>
      </c>
      <c r="I558" s="24" t="n">
        <v>25.17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4"/>
      <c r="O558" s="22"/>
    </row>
    <row collapsed="false" customFormat="false" customHeight="false" hidden="false" ht="12.1" outlineLevel="0" r="559">
      <c r="A559" s="25" t="n">
        <v>45497.646493056</v>
      </c>
      <c r="B559" s="26" t="s">
        <v>1089</v>
      </c>
      <c r="C559" s="26" t="s">
        <v>1094</v>
      </c>
      <c r="D559" s="26" t="s">
        <v>1089</v>
      </c>
      <c r="E559" s="26" t="s">
        <v>1089</v>
      </c>
      <c r="F559" s="26" t="s">
        <v>19</v>
      </c>
      <c r="G559" s="27" t="n">
        <v>1</v>
      </c>
      <c r="H559" s="28" t="n">
        <v>-3</v>
      </c>
      <c r="I559" s="28" t="n">
        <v>-3</v>
      </c>
      <c r="J559" s="28" t="n">
        <v>0</v>
      </c>
      <c r="K559" s="28" t="n">
        <v>0</v>
      </c>
      <c r="L559" s="28" t="n">
        <v>0</v>
      </c>
      <c r="M559" s="6" t="s">
        <f>=I559+J559+K559+L559</f>
      </c>
      <c r="N559" s="28"/>
      <c r="O559" s="26"/>
    </row>
    <row collapsed="false" customFormat="false" customHeight="false" hidden="false" ht="12.1" outlineLevel="0" r="560">
      <c r="A560" s="21" t="n">
        <v>45497.693333333</v>
      </c>
      <c r="B560" s="22" t="s">
        <v>1063</v>
      </c>
      <c r="C560" s="22" t="s">
        <v>1230</v>
      </c>
      <c r="D560" s="22" t="s">
        <v>1063</v>
      </c>
      <c r="E560" s="22" t="s">
        <v>1063</v>
      </c>
      <c r="F560" s="22" t="s">
        <v>19</v>
      </c>
      <c r="G560" s="23" t="n">
        <v>1</v>
      </c>
      <c r="H560" s="24" t="n">
        <v>1</v>
      </c>
      <c r="I560" s="24" t="n">
        <v>160.38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4"/>
      <c r="O560" s="22"/>
    </row>
    <row collapsed="false" customFormat="false" customHeight="false" hidden="false" ht="12.1" outlineLevel="0" r="561">
      <c r="A561" s="25" t="n">
        <v>45497.693333333</v>
      </c>
      <c r="B561" s="26" t="s">
        <v>1089</v>
      </c>
      <c r="C561" s="26" t="s">
        <v>1231</v>
      </c>
      <c r="D561" s="26" t="s">
        <v>1089</v>
      </c>
      <c r="E561" s="26" t="s">
        <v>1089</v>
      </c>
      <c r="F561" s="26" t="s">
        <v>19</v>
      </c>
      <c r="G561" s="27" t="n">
        <v>1</v>
      </c>
      <c r="H561" s="28" t="n">
        <v>-21</v>
      </c>
      <c r="I561" s="28" t="n">
        <v>-21</v>
      </c>
      <c r="J561" s="28" t="n">
        <v>0</v>
      </c>
      <c r="K561" s="28" t="n">
        <v>0</v>
      </c>
      <c r="L561" s="28" t="n">
        <v>0</v>
      </c>
      <c r="M561" s="6" t="s">
        <f>=I561+J561+K561+L561</f>
      </c>
      <c r="N561" s="28"/>
      <c r="O561" s="26"/>
    </row>
    <row collapsed="false" customFormat="false" customHeight="false" hidden="false" ht="12.1" outlineLevel="0" r="562">
      <c r="A562" s="21" t="n">
        <v>45498.44587963</v>
      </c>
      <c r="B562" s="22" t="s">
        <v>1063</v>
      </c>
      <c r="C562" s="22" t="s">
        <v>1160</v>
      </c>
      <c r="D562" s="22" t="s">
        <v>1063</v>
      </c>
      <c r="E562" s="22" t="s">
        <v>1063</v>
      </c>
      <c r="F562" s="22" t="s">
        <v>19</v>
      </c>
      <c r="G562" s="23" t="n">
        <v>1</v>
      </c>
      <c r="H562" s="24" t="n">
        <v>1</v>
      </c>
      <c r="I562" s="24" t="n">
        <v>43.38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4"/>
      <c r="O562" s="22"/>
    </row>
    <row collapsed="false" customFormat="false" customHeight="false" hidden="false" ht="12.1" outlineLevel="0" r="563">
      <c r="A563" s="21" t="n">
        <v>45498.54212963</v>
      </c>
      <c r="B563" s="22" t="s">
        <v>1063</v>
      </c>
      <c r="C563" s="22" t="s">
        <v>1180</v>
      </c>
      <c r="D563" s="22" t="s">
        <v>1063</v>
      </c>
      <c r="E563" s="22" t="s">
        <v>1063</v>
      </c>
      <c r="F563" s="22" t="s">
        <v>19</v>
      </c>
      <c r="G563" s="23" t="n">
        <v>1</v>
      </c>
      <c r="H563" s="24" t="n">
        <v>1</v>
      </c>
      <c r="I563" s="24" t="n">
        <v>43.42</v>
      </c>
      <c r="J563" s="24" t="n">
        <v>0</v>
      </c>
      <c r="K563" s="24" t="n">
        <v>0</v>
      </c>
      <c r="L563" s="24" t="n">
        <v>0</v>
      </c>
      <c r="M563" s="6" t="s">
        <f>=I563+J563+K563+L563</f>
      </c>
      <c r="N563" s="24"/>
      <c r="O563" s="22"/>
    </row>
    <row collapsed="false" customFormat="false" customHeight="false" hidden="false" ht="12.1" outlineLevel="0" r="564">
      <c r="A564" s="21" t="n">
        <v>45499.534444444</v>
      </c>
      <c r="B564" s="22" t="s">
        <v>1063</v>
      </c>
      <c r="C564" s="22" t="s">
        <v>1138</v>
      </c>
      <c r="D564" s="22" t="s">
        <v>1063</v>
      </c>
      <c r="E564" s="22" t="s">
        <v>1063</v>
      </c>
      <c r="F564" s="22" t="s">
        <v>19</v>
      </c>
      <c r="G564" s="23" t="n">
        <v>1</v>
      </c>
      <c r="H564" s="24" t="n">
        <v>1</v>
      </c>
      <c r="I564" s="24" t="n">
        <v>999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4"/>
      <c r="O564" s="22"/>
    </row>
    <row collapsed="false" customFormat="false" customHeight="false" hidden="false" ht="12.1" outlineLevel="0" r="565">
      <c r="A565" s="25" t="n">
        <v>45499.534444444</v>
      </c>
      <c r="B565" s="26" t="s">
        <v>1089</v>
      </c>
      <c r="C565" s="26" t="s">
        <v>1139</v>
      </c>
      <c r="D565" s="26" t="s">
        <v>1089</v>
      </c>
      <c r="E565" s="26" t="s">
        <v>1089</v>
      </c>
      <c r="F565" s="26" t="s">
        <v>19</v>
      </c>
      <c r="G565" s="27" t="n">
        <v>1</v>
      </c>
      <c r="H565" s="28" t="n">
        <v>-130</v>
      </c>
      <c r="I565" s="28" t="n">
        <v>-130</v>
      </c>
      <c r="J565" s="28" t="n">
        <v>0</v>
      </c>
      <c r="K565" s="28" t="n">
        <v>0</v>
      </c>
      <c r="L565" s="28" t="n">
        <v>0</v>
      </c>
      <c r="M565" s="6" t="s">
        <f>=I565+J565+K565+L565</f>
      </c>
      <c r="N565" s="28"/>
      <c r="O565" s="26"/>
    </row>
    <row collapsed="false" customFormat="false" customHeight="false" hidden="false" ht="12.1" outlineLevel="0" r="566">
      <c r="A566" s="21" t="n">
        <v>45499.712615741</v>
      </c>
      <c r="B566" s="22" t="s">
        <v>1063</v>
      </c>
      <c r="C566" s="22" t="s">
        <v>1140</v>
      </c>
      <c r="D566" s="22" t="s">
        <v>1063</v>
      </c>
      <c r="E566" s="22" t="s">
        <v>1063</v>
      </c>
      <c r="F566" s="22" t="s">
        <v>19</v>
      </c>
      <c r="G566" s="23" t="n">
        <v>1</v>
      </c>
      <c r="H566" s="24" t="n">
        <v>1</v>
      </c>
      <c r="I566" s="24" t="n">
        <v>4329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4"/>
      <c r="O566" s="22"/>
    </row>
    <row collapsed="false" customFormat="false" customHeight="false" hidden="false" ht="12.1" outlineLevel="0" r="567">
      <c r="A567" s="25" t="n">
        <v>45499.712615741</v>
      </c>
      <c r="B567" s="26" t="s">
        <v>1089</v>
      </c>
      <c r="C567" s="26" t="s">
        <v>1141</v>
      </c>
      <c r="D567" s="26" t="s">
        <v>1089</v>
      </c>
      <c r="E567" s="26" t="s">
        <v>1089</v>
      </c>
      <c r="F567" s="26" t="s">
        <v>19</v>
      </c>
      <c r="G567" s="27" t="n">
        <v>1</v>
      </c>
      <c r="H567" s="28" t="n">
        <v>-561</v>
      </c>
      <c r="I567" s="28" t="n">
        <v>-561</v>
      </c>
      <c r="J567" s="28" t="n">
        <v>0</v>
      </c>
      <c r="K567" s="28" t="n">
        <v>0</v>
      </c>
      <c r="L567" s="28" t="n">
        <v>0</v>
      </c>
      <c r="M567" s="6" t="s">
        <f>=I567+J567+K567+L567</f>
      </c>
      <c r="N567" s="28"/>
      <c r="O567" s="26"/>
    </row>
    <row collapsed="false" customFormat="false" customHeight="false" hidden="false" ht="12.1" outlineLevel="0" r="568">
      <c r="A568" s="21" t="n">
        <v>45502.475648148</v>
      </c>
      <c r="B568" s="22" t="s">
        <v>1073</v>
      </c>
      <c r="C568" s="22" t="s">
        <v>1232</v>
      </c>
      <c r="D568" s="22" t="s">
        <v>1073</v>
      </c>
      <c r="E568" s="22" t="s">
        <v>1073</v>
      </c>
      <c r="F568" s="22" t="s">
        <v>19</v>
      </c>
      <c r="G568" s="23" t="n">
        <v>1</v>
      </c>
      <c r="H568" s="24" t="n">
        <v>1</v>
      </c>
      <c r="I568" s="24" t="n">
        <v>1000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4"/>
      <c r="O568" s="22"/>
    </row>
    <row collapsed="false" customFormat="false" customHeight="false" hidden="false" ht="12.1" outlineLevel="0" r="569">
      <c r="A569" s="21" t="n">
        <v>45502.477777778</v>
      </c>
      <c r="B569" s="22" t="s">
        <v>1063</v>
      </c>
      <c r="C569" s="22" t="s">
        <v>1196</v>
      </c>
      <c r="D569" s="22" t="s">
        <v>1063</v>
      </c>
      <c r="E569" s="22" t="s">
        <v>1063</v>
      </c>
      <c r="F569" s="22" t="s">
        <v>19</v>
      </c>
      <c r="G569" s="23" t="n">
        <v>1</v>
      </c>
      <c r="H569" s="24" t="n">
        <v>1</v>
      </c>
      <c r="I569" s="24" t="n">
        <v>47.12</v>
      </c>
      <c r="J569" s="24" t="n">
        <v>0</v>
      </c>
      <c r="K569" s="24" t="n">
        <v>0</v>
      </c>
      <c r="L569" s="24" t="n">
        <v>0</v>
      </c>
      <c r="M569" s="6" t="s">
        <f>=I569+J569+K569+L569</f>
      </c>
      <c r="N569" s="24"/>
      <c r="O569" s="22"/>
    </row>
    <row collapsed="false" customFormat="false" customHeight="false" hidden="false" ht="12.1" outlineLevel="0" r="570">
      <c r="A570" s="21" t="n">
        <v>45502.563148148</v>
      </c>
      <c r="B570" s="22" t="s">
        <v>1063</v>
      </c>
      <c r="C570" s="22" t="s">
        <v>1174</v>
      </c>
      <c r="D570" s="22" t="s">
        <v>1063</v>
      </c>
      <c r="E570" s="22" t="s">
        <v>1063</v>
      </c>
      <c r="F570" s="22" t="s">
        <v>19</v>
      </c>
      <c r="G570" s="23" t="n">
        <v>1</v>
      </c>
      <c r="H570" s="24" t="n">
        <v>1</v>
      </c>
      <c r="I570" s="24" t="n">
        <v>29.48</v>
      </c>
      <c r="J570" s="24" t="n">
        <v>0</v>
      </c>
      <c r="K570" s="24" t="n">
        <v>0</v>
      </c>
      <c r="L570" s="24" t="n">
        <v>0</v>
      </c>
      <c r="M570" s="6" t="s">
        <f>=I570+J570+K570+L570</f>
      </c>
      <c r="N570" s="24"/>
      <c r="O570" s="22"/>
    </row>
    <row collapsed="false" customFormat="false" customHeight="false" hidden="false" ht="12.1" outlineLevel="0" r="571">
      <c r="A571" s="25" t="n">
        <v>45503.540138889</v>
      </c>
      <c r="B571" s="26" t="s">
        <v>1089</v>
      </c>
      <c r="C571" s="26" t="s">
        <v>1233</v>
      </c>
      <c r="D571" s="26" t="s">
        <v>1089</v>
      </c>
      <c r="E571" s="26" t="s">
        <v>1089</v>
      </c>
      <c r="F571" s="26" t="s">
        <v>19</v>
      </c>
      <c r="G571" s="27" t="n">
        <v>1</v>
      </c>
      <c r="H571" s="28" t="n">
        <v>-43</v>
      </c>
      <c r="I571" s="28" t="n">
        <v>-43</v>
      </c>
      <c r="J571" s="28" t="n">
        <v>0</v>
      </c>
      <c r="K571" s="28" t="n">
        <v>0</v>
      </c>
      <c r="L571" s="28" t="n">
        <v>0</v>
      </c>
      <c r="M571" s="6" t="s">
        <f>=I571+J571+K571+L571</f>
      </c>
      <c r="N571" s="28"/>
      <c r="O571" s="26"/>
    </row>
    <row collapsed="false" customFormat="false" customHeight="false" hidden="false" ht="12.1" outlineLevel="0" r="572">
      <c r="A572" s="21" t="n">
        <v>45503.540138889</v>
      </c>
      <c r="B572" s="22" t="s">
        <v>1063</v>
      </c>
      <c r="C572" s="22" t="s">
        <v>1234</v>
      </c>
      <c r="D572" s="22" t="s">
        <v>1063</v>
      </c>
      <c r="E572" s="22" t="s">
        <v>1063</v>
      </c>
      <c r="F572" s="22" t="s">
        <v>19</v>
      </c>
      <c r="G572" s="23" t="n">
        <v>1</v>
      </c>
      <c r="H572" s="24" t="n">
        <v>1</v>
      </c>
      <c r="I572" s="24" t="n">
        <v>350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4"/>
      <c r="O572" s="22"/>
    </row>
    <row collapsed="false" customFormat="false" customHeight="false" hidden="false" ht="12.1" outlineLevel="0" r="573">
      <c r="A573" s="21" t="n">
        <v>45503.669444444</v>
      </c>
      <c r="B573" s="22" t="s">
        <v>1063</v>
      </c>
      <c r="C573" s="22" t="s">
        <v>1235</v>
      </c>
      <c r="D573" s="22" t="s">
        <v>1063</v>
      </c>
      <c r="E573" s="22" t="s">
        <v>1063</v>
      </c>
      <c r="F573" s="22" t="s">
        <v>19</v>
      </c>
      <c r="G573" s="23" t="n">
        <v>1</v>
      </c>
      <c r="H573" s="24" t="n">
        <v>1</v>
      </c>
      <c r="I573" s="24" t="n">
        <v>28.1</v>
      </c>
      <c r="J573" s="24" t="n">
        <v>0</v>
      </c>
      <c r="K573" s="24" t="n">
        <v>0</v>
      </c>
      <c r="L573" s="24" t="n">
        <v>0</v>
      </c>
      <c r="M573" s="6" t="s">
        <f>=I573+J573+K573+L573</f>
      </c>
      <c r="N573" s="24"/>
      <c r="O573" s="22"/>
    </row>
    <row collapsed="false" customFormat="false" customHeight="false" hidden="false" ht="12.1" outlineLevel="0" r="574">
      <c r="A574" s="21" t="n">
        <v>45504.406886574</v>
      </c>
      <c r="B574" s="22" t="s">
        <v>1063</v>
      </c>
      <c r="C574" s="22" t="s">
        <v>1117</v>
      </c>
      <c r="D574" s="22" t="s">
        <v>1063</v>
      </c>
      <c r="E574" s="22" t="s">
        <v>1063</v>
      </c>
      <c r="F574" s="22" t="s">
        <v>19</v>
      </c>
      <c r="G574" s="23" t="n">
        <v>1</v>
      </c>
      <c r="H574" s="24" t="n">
        <v>1</v>
      </c>
      <c r="I574" s="24" t="n">
        <v>28.22</v>
      </c>
      <c r="J574" s="24" t="n">
        <v>0</v>
      </c>
      <c r="K574" s="24" t="n">
        <v>0</v>
      </c>
      <c r="L574" s="24" t="n">
        <v>0</v>
      </c>
      <c r="M574" s="6" t="s">
        <f>=I574+J574+K574+L574</f>
      </c>
      <c r="N574" s="24"/>
      <c r="O574" s="22"/>
    </row>
    <row collapsed="false" customFormat="false" customHeight="false" hidden="false" ht="12.1" outlineLevel="0" r="575">
      <c r="A575" s="21" t="n">
        <v>45504.498206019</v>
      </c>
      <c r="B575" s="22" t="s">
        <v>1063</v>
      </c>
      <c r="C575" s="22" t="s">
        <v>1236</v>
      </c>
      <c r="D575" s="22" t="s">
        <v>1063</v>
      </c>
      <c r="E575" s="22" t="s">
        <v>1063</v>
      </c>
      <c r="F575" s="22" t="s">
        <v>19</v>
      </c>
      <c r="G575" s="23" t="n">
        <v>1</v>
      </c>
      <c r="H575" s="24" t="n">
        <v>1</v>
      </c>
      <c r="I575" s="24" t="n">
        <v>29.17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4"/>
      <c r="O575" s="22"/>
    </row>
    <row collapsed="false" customFormat="false" customHeight="false" hidden="false" ht="12.1" outlineLevel="0" r="576">
      <c r="A576" s="21" t="n">
        <v>45505.512083333</v>
      </c>
      <c r="B576" s="22" t="s">
        <v>1063</v>
      </c>
      <c r="C576" s="22" t="s">
        <v>1118</v>
      </c>
      <c r="D576" s="22" t="s">
        <v>1063</v>
      </c>
      <c r="E576" s="22" t="s">
        <v>1063</v>
      </c>
      <c r="F576" s="22" t="s">
        <v>19</v>
      </c>
      <c r="G576" s="23" t="n">
        <v>1</v>
      </c>
      <c r="H576" s="24" t="n">
        <v>1</v>
      </c>
      <c r="I576" s="24" t="n">
        <v>72.6</v>
      </c>
      <c r="J576" s="24" t="n">
        <v>0</v>
      </c>
      <c r="K576" s="24" t="n">
        <v>0</v>
      </c>
      <c r="L576" s="24" t="n">
        <v>0</v>
      </c>
      <c r="M576" s="6" t="s">
        <f>=I576+J576+K576+L576</f>
      </c>
      <c r="N576" s="24"/>
      <c r="O576" s="22"/>
    </row>
    <row collapsed="false" customFormat="false" customHeight="false" hidden="false" ht="12.1" outlineLevel="0" r="577">
      <c r="A577" s="21" t="n">
        <v>45505.573541667</v>
      </c>
      <c r="B577" s="22" t="s">
        <v>1063</v>
      </c>
      <c r="C577" s="22" t="s">
        <v>1161</v>
      </c>
      <c r="D577" s="22" t="s">
        <v>1063</v>
      </c>
      <c r="E577" s="22" t="s">
        <v>1063</v>
      </c>
      <c r="F577" s="22" t="s">
        <v>19</v>
      </c>
      <c r="G577" s="23" t="n">
        <v>1</v>
      </c>
      <c r="H577" s="24" t="n">
        <v>1</v>
      </c>
      <c r="I577" s="24" t="n">
        <v>52</v>
      </c>
      <c r="J577" s="24" t="n">
        <v>0</v>
      </c>
      <c r="K577" s="24" t="n">
        <v>0</v>
      </c>
      <c r="L577" s="24" t="n">
        <v>0</v>
      </c>
      <c r="M577" s="6" t="s">
        <f>=I577+J577+K577+L577</f>
      </c>
      <c r="N577" s="24"/>
      <c r="O577" s="22"/>
    </row>
    <row collapsed="false" customFormat="false" customHeight="false" hidden="false" ht="12.1" outlineLevel="0" r="578">
      <c r="A578" s="21" t="n">
        <v>45505.596516204</v>
      </c>
      <c r="B578" s="22" t="s">
        <v>1063</v>
      </c>
      <c r="C578" s="22" t="s">
        <v>1081</v>
      </c>
      <c r="D578" s="22" t="s">
        <v>1063</v>
      </c>
      <c r="E578" s="22" t="s">
        <v>1063</v>
      </c>
      <c r="F578" s="22" t="s">
        <v>19</v>
      </c>
      <c r="G578" s="23" t="n">
        <v>1</v>
      </c>
      <c r="H578" s="24" t="n">
        <v>1</v>
      </c>
      <c r="I578" s="24" t="n">
        <v>912.6</v>
      </c>
      <c r="J578" s="24" t="n">
        <v>0</v>
      </c>
      <c r="K578" s="24" t="n">
        <v>0</v>
      </c>
      <c r="L578" s="24" t="n">
        <v>0</v>
      </c>
      <c r="M578" s="6" t="s">
        <f>=I578+J578+K578+L578</f>
      </c>
      <c r="N578" s="24"/>
      <c r="O578" s="22"/>
    </row>
    <row collapsed="false" customFormat="false" customHeight="false" hidden="false" ht="12.1" outlineLevel="0" r="579">
      <c r="A579" s="21" t="n">
        <v>45505.660856481</v>
      </c>
      <c r="B579" s="22" t="s">
        <v>1063</v>
      </c>
      <c r="C579" s="22" t="s">
        <v>1237</v>
      </c>
      <c r="D579" s="22" t="s">
        <v>1063</v>
      </c>
      <c r="E579" s="22" t="s">
        <v>1063</v>
      </c>
      <c r="F579" s="22" t="s">
        <v>19</v>
      </c>
      <c r="G579" s="23" t="n">
        <v>1</v>
      </c>
      <c r="H579" s="24" t="n">
        <v>1</v>
      </c>
      <c r="I579" s="24" t="n">
        <v>34.41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4"/>
      <c r="O579" s="22"/>
    </row>
    <row collapsed="false" customFormat="false" customHeight="false" hidden="false" ht="12.1" outlineLevel="0" r="580">
      <c r="A580" s="21" t="n">
        <v>45505.670393519</v>
      </c>
      <c r="B580" s="22" t="s">
        <v>1063</v>
      </c>
      <c r="C580" s="22" t="s">
        <v>1181</v>
      </c>
      <c r="D580" s="22" t="s">
        <v>1063</v>
      </c>
      <c r="E580" s="22" t="s">
        <v>1063</v>
      </c>
      <c r="F580" s="22" t="s">
        <v>19</v>
      </c>
      <c r="G580" s="23" t="n">
        <v>1</v>
      </c>
      <c r="H580" s="24" t="n">
        <v>1</v>
      </c>
      <c r="I580" s="24" t="n">
        <v>39.45</v>
      </c>
      <c r="J580" s="24" t="n">
        <v>0</v>
      </c>
      <c r="K580" s="24" t="n">
        <v>0</v>
      </c>
      <c r="L580" s="24" t="n">
        <v>0</v>
      </c>
      <c r="M580" s="6" t="s">
        <f>=I580+J580+K580+L580</f>
      </c>
      <c r="N580" s="24"/>
      <c r="O580" s="22"/>
    </row>
    <row collapsed="false" customFormat="false" customHeight="false" hidden="false" ht="12.1" outlineLevel="0" r="581">
      <c r="A581" s="21" t="n">
        <v>45506.359710648</v>
      </c>
      <c r="B581" s="22" t="s">
        <v>1056</v>
      </c>
      <c r="C581" s="22" t="s">
        <v>350</v>
      </c>
      <c r="D581" s="22" t="s">
        <v>1056</v>
      </c>
      <c r="E581" s="22" t="s">
        <v>1056</v>
      </c>
      <c r="F581" s="22" t="s">
        <v>19</v>
      </c>
      <c r="G581" s="23" t="n">
        <v>1</v>
      </c>
      <c r="H581" s="24" t="n">
        <v>1</v>
      </c>
      <c r="I581" s="24" t="n">
        <v>11000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4"/>
      <c r="O581" s="22"/>
    </row>
    <row collapsed="false" customFormat="false" customHeight="false" hidden="false" ht="12.1" outlineLevel="0" r="582">
      <c r="A582" s="20" t="n">
        <v>45506.43224537</v>
      </c>
      <c r="B582" s="16" t="s">
        <v>48</v>
      </c>
      <c r="C582" s="16" t="s">
        <v>1076</v>
      </c>
      <c r="D582" s="16" t="s">
        <v>912</v>
      </c>
      <c r="E582" s="16" t="s">
        <v>17</v>
      </c>
      <c r="F582" s="16" t="s">
        <v>19</v>
      </c>
      <c r="G582" s="7" t="n">
        <v>4</v>
      </c>
      <c r="H582" s="6" t="n">
        <v>751.2</v>
      </c>
      <c r="I582" s="6" t="n">
        <v>-3004.8</v>
      </c>
      <c r="J582" s="6" t="n">
        <v>0</v>
      </c>
      <c r="K582" s="6" t="n">
        <v>-9.01</v>
      </c>
      <c r="L582" s="6" t="n">
        <v>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45506.432546296</v>
      </c>
      <c r="B583" s="16" t="s">
        <v>42</v>
      </c>
      <c r="C583" s="16" t="s">
        <v>1077</v>
      </c>
      <c r="D583" s="16" t="s">
        <v>912</v>
      </c>
      <c r="E583" s="16" t="s">
        <v>17</v>
      </c>
      <c r="F583" s="16" t="s">
        <v>19</v>
      </c>
      <c r="G583" s="7" t="n">
        <v>100</v>
      </c>
      <c r="H583" s="6" t="n">
        <v>3.791</v>
      </c>
      <c r="I583" s="6" t="n">
        <v>-379.1</v>
      </c>
      <c r="J583" s="6" t="n">
        <v>0</v>
      </c>
      <c r="K583" s="6" t="n">
        <v>-1.14</v>
      </c>
      <c r="L583" s="6" t="n">
        <v>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0" t="n">
        <v>45506.432893519</v>
      </c>
      <c r="B584" s="16" t="s">
        <v>36</v>
      </c>
      <c r="C584" s="16" t="s">
        <v>1122</v>
      </c>
      <c r="D584" s="16" t="s">
        <v>912</v>
      </c>
      <c r="E584" s="16" t="s">
        <v>17</v>
      </c>
      <c r="F584" s="16" t="s">
        <v>19</v>
      </c>
      <c r="G584" s="7" t="n">
        <v>10</v>
      </c>
      <c r="H584" s="6" t="n">
        <v>228.68</v>
      </c>
      <c r="I584" s="6" t="n">
        <v>-2286.8</v>
      </c>
      <c r="J584" s="6" t="n">
        <v>0</v>
      </c>
      <c r="K584" s="6" t="n">
        <v>-6.86</v>
      </c>
      <c r="L584" s="6" t="n">
        <v>0</v>
      </c>
      <c r="M584" s="6" t="s">
        <f>=I584+J584+K584+L584</f>
      </c>
      <c r="N584" s="6"/>
      <c r="O584" s="16"/>
    </row>
    <row collapsed="false" customFormat="false" customHeight="false" hidden="false" ht="12.1" outlineLevel="0" r="585">
      <c r="A585" s="20" t="n">
        <v>45506.433148148</v>
      </c>
      <c r="B585" s="16" t="s">
        <v>62</v>
      </c>
      <c r="C585" s="16" t="s">
        <v>1134</v>
      </c>
      <c r="D585" s="16" t="s">
        <v>912</v>
      </c>
      <c r="E585" s="16" t="s">
        <v>17</v>
      </c>
      <c r="F585" s="16" t="s">
        <v>19</v>
      </c>
      <c r="G585" s="7" t="n">
        <v>10</v>
      </c>
      <c r="H585" s="6" t="n">
        <v>82.29</v>
      </c>
      <c r="I585" s="6" t="n">
        <v>-822.9</v>
      </c>
      <c r="J585" s="6" t="n">
        <v>0</v>
      </c>
      <c r="K585" s="6" t="n">
        <v>-2.47</v>
      </c>
      <c r="L585" s="6" t="n">
        <v>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0" t="n">
        <v>45506.433587963</v>
      </c>
      <c r="B586" s="16" t="s">
        <v>921</v>
      </c>
      <c r="C586" s="16" t="s">
        <v>1086</v>
      </c>
      <c r="D586" s="16" t="s">
        <v>912</v>
      </c>
      <c r="E586" s="16" t="s">
        <v>17</v>
      </c>
      <c r="F586" s="16" t="s">
        <v>19</v>
      </c>
      <c r="G586" s="7" t="n">
        <v>1000</v>
      </c>
      <c r="H586" s="6" t="n">
        <v>0.5971</v>
      </c>
      <c r="I586" s="6" t="n">
        <v>-597.1</v>
      </c>
      <c r="J586" s="6" t="n">
        <v>0</v>
      </c>
      <c r="K586" s="6" t="n">
        <v>-1.79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45506.434155093</v>
      </c>
      <c r="B587" s="16" t="s">
        <v>33</v>
      </c>
      <c r="C587" s="16" t="s">
        <v>1078</v>
      </c>
      <c r="D587" s="16" t="s">
        <v>912</v>
      </c>
      <c r="E587" s="16" t="s">
        <v>17</v>
      </c>
      <c r="F587" s="16" t="s">
        <v>19</v>
      </c>
      <c r="G587" s="7" t="n">
        <v>10</v>
      </c>
      <c r="H587" s="6" t="n">
        <v>131.96</v>
      </c>
      <c r="I587" s="6" t="n">
        <v>-1319.6</v>
      </c>
      <c r="J587" s="6" t="n">
        <v>0</v>
      </c>
      <c r="K587" s="6" t="n">
        <v>-3.96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45506.436006944</v>
      </c>
      <c r="B588" s="16" t="s">
        <v>88</v>
      </c>
      <c r="C588" s="16" t="s">
        <v>1069</v>
      </c>
      <c r="D588" s="16" t="s">
        <v>912</v>
      </c>
      <c r="E588" s="16" t="s">
        <v>85</v>
      </c>
      <c r="F588" s="16" t="s">
        <v>19</v>
      </c>
      <c r="G588" s="7" t="n">
        <v>1</v>
      </c>
      <c r="H588" s="6" t="n">
        <v>105.45</v>
      </c>
      <c r="I588" s="6" t="n">
        <v>-1054.5</v>
      </c>
      <c r="J588" s="6" t="n">
        <v>-22.29</v>
      </c>
      <c r="K588" s="6" t="n">
        <v>-3.16</v>
      </c>
      <c r="L588" s="6" t="n">
        <v>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45506.436446759</v>
      </c>
      <c r="B589" s="16" t="s">
        <v>163</v>
      </c>
      <c r="C589" s="16" t="s">
        <v>1200</v>
      </c>
      <c r="D589" s="16" t="s">
        <v>912</v>
      </c>
      <c r="E589" s="16" t="s">
        <v>85</v>
      </c>
      <c r="F589" s="16" t="s">
        <v>19</v>
      </c>
      <c r="G589" s="7" t="n">
        <v>1</v>
      </c>
      <c r="H589" s="6" t="n">
        <v>77.548</v>
      </c>
      <c r="I589" s="6" t="n">
        <v>-775.48</v>
      </c>
      <c r="J589" s="6" t="n">
        <v>-37.48</v>
      </c>
      <c r="K589" s="6" t="n">
        <v>-2.33</v>
      </c>
      <c r="L589" s="6" t="n">
        <v>0</v>
      </c>
      <c r="M589" s="6" t="s">
        <f>=I589+J589+K589+L589</f>
      </c>
      <c r="N589" s="6"/>
      <c r="O589" s="16"/>
    </row>
    <row collapsed="false" customFormat="false" customHeight="false" hidden="false" ht="12.1" outlineLevel="0" r="590">
      <c r="A590" s="20" t="n">
        <v>45506.436782407</v>
      </c>
      <c r="B590" s="16" t="s">
        <v>154</v>
      </c>
      <c r="C590" s="16" t="s">
        <v>1217</v>
      </c>
      <c r="D590" s="16" t="s">
        <v>912</v>
      </c>
      <c r="E590" s="16" t="s">
        <v>85</v>
      </c>
      <c r="F590" s="16" t="s">
        <v>19</v>
      </c>
      <c r="G590" s="7" t="n">
        <v>1</v>
      </c>
      <c r="H590" s="6" t="n">
        <v>64.399</v>
      </c>
      <c r="I590" s="6" t="n">
        <v>-643.99</v>
      </c>
      <c r="J590" s="6" t="n">
        <v>-0.95000000000005</v>
      </c>
      <c r="K590" s="6" t="n">
        <v>-1.93</v>
      </c>
      <c r="L590" s="6" t="n">
        <v>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0" t="n">
        <v>45506.437048611</v>
      </c>
      <c r="B591" s="16" t="s">
        <v>109</v>
      </c>
      <c r="C591" s="16" t="s">
        <v>1067</v>
      </c>
      <c r="D591" s="16" t="s">
        <v>912</v>
      </c>
      <c r="E591" s="16" t="s">
        <v>85</v>
      </c>
      <c r="F591" s="16" t="s">
        <v>19</v>
      </c>
      <c r="G591" s="7" t="n">
        <v>1</v>
      </c>
      <c r="H591" s="6" t="n">
        <v>105.72</v>
      </c>
      <c r="I591" s="6" t="n">
        <v>-1057.2</v>
      </c>
      <c r="J591" s="6" t="n">
        <v>-38.28</v>
      </c>
      <c r="K591" s="6" t="n">
        <v>-3.17</v>
      </c>
      <c r="L591" s="6" t="n">
        <v>0</v>
      </c>
      <c r="M591" s="6" t="s">
        <f>=I591+J591+K591+L591</f>
      </c>
      <c r="N591" s="6"/>
      <c r="O591" s="16"/>
    </row>
    <row collapsed="false" customFormat="false" customHeight="false" hidden="false" ht="12.1" outlineLevel="0" r="592">
      <c r="A592" s="20" t="n">
        <v>45506.437418981</v>
      </c>
      <c r="B592" s="16" t="s">
        <v>124</v>
      </c>
      <c r="C592" s="16" t="s">
        <v>1136</v>
      </c>
      <c r="D592" s="16" t="s">
        <v>912</v>
      </c>
      <c r="E592" s="16" t="s">
        <v>85</v>
      </c>
      <c r="F592" s="16" t="s">
        <v>19</v>
      </c>
      <c r="G592" s="7" t="n">
        <v>1</v>
      </c>
      <c r="H592" s="6" t="n">
        <v>71.099</v>
      </c>
      <c r="I592" s="6" t="n">
        <v>-710.99</v>
      </c>
      <c r="J592" s="6" t="n">
        <v>-23.06</v>
      </c>
      <c r="K592" s="6" t="n">
        <v>-2.13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0" t="n">
        <v>45506.437835648</v>
      </c>
      <c r="B593" s="16" t="s">
        <v>133</v>
      </c>
      <c r="C593" s="16" t="s">
        <v>1199</v>
      </c>
      <c r="D593" s="16" t="s">
        <v>912</v>
      </c>
      <c r="E593" s="16" t="s">
        <v>85</v>
      </c>
      <c r="F593" s="16" t="s">
        <v>19</v>
      </c>
      <c r="G593" s="7" t="n">
        <v>1</v>
      </c>
      <c r="H593" s="6" t="n">
        <v>71.349</v>
      </c>
      <c r="I593" s="6" t="n">
        <v>-713.49</v>
      </c>
      <c r="J593" s="6" t="n">
        <v>-30.5</v>
      </c>
      <c r="K593" s="6" t="n">
        <v>-2.14</v>
      </c>
      <c r="L593" s="6" t="n">
        <v>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0" t="n">
        <v>45506.438206019</v>
      </c>
      <c r="B594" s="16" t="s">
        <v>103</v>
      </c>
      <c r="C594" s="16" t="s">
        <v>1061</v>
      </c>
      <c r="D594" s="16" t="s">
        <v>912</v>
      </c>
      <c r="E594" s="16" t="s">
        <v>85</v>
      </c>
      <c r="F594" s="16" t="s">
        <v>19</v>
      </c>
      <c r="G594" s="7" t="n">
        <v>1</v>
      </c>
      <c r="H594" s="6" t="n">
        <v>62.249</v>
      </c>
      <c r="I594" s="6" t="n">
        <v>-622.49</v>
      </c>
      <c r="J594" s="6" t="n">
        <v>-22.31</v>
      </c>
      <c r="K594" s="6" t="n">
        <v>-1.87</v>
      </c>
      <c r="L594" s="6" t="n">
        <v>0</v>
      </c>
      <c r="M594" s="6" t="s">
        <f>=I594+J594+K594+L594</f>
      </c>
      <c r="N594" s="6"/>
      <c r="O594" s="16"/>
    </row>
    <row collapsed="false" customFormat="false" customHeight="false" hidden="false" ht="12.1" outlineLevel="0" r="595">
      <c r="A595" s="20" t="n">
        <v>45506.438425926</v>
      </c>
      <c r="B595" s="16" t="s">
        <v>112</v>
      </c>
      <c r="C595" s="16" t="s">
        <v>1110</v>
      </c>
      <c r="D595" s="16" t="s">
        <v>912</v>
      </c>
      <c r="E595" s="16" t="s">
        <v>85</v>
      </c>
      <c r="F595" s="16" t="s">
        <v>19</v>
      </c>
      <c r="G595" s="7" t="n">
        <v>1</v>
      </c>
      <c r="H595" s="6" t="n">
        <v>55.3</v>
      </c>
      <c r="I595" s="6" t="n">
        <v>-553</v>
      </c>
      <c r="J595" s="6" t="n">
        <v>-33.17</v>
      </c>
      <c r="K595" s="6" t="n">
        <v>-1.66</v>
      </c>
      <c r="L595" s="6" t="n">
        <v>0</v>
      </c>
      <c r="M595" s="6" t="s">
        <f>=I595+J595+K595+L595</f>
      </c>
      <c r="N595" s="6"/>
      <c r="O595" s="16"/>
    </row>
    <row collapsed="false" customFormat="false" customHeight="false" hidden="false" ht="12.1" outlineLevel="0" r="596">
      <c r="A596" s="20" t="n">
        <v>45506.438657407</v>
      </c>
      <c r="B596" s="16" t="s">
        <v>91</v>
      </c>
      <c r="C596" s="16" t="s">
        <v>1167</v>
      </c>
      <c r="D596" s="16" t="s">
        <v>912</v>
      </c>
      <c r="E596" s="16" t="s">
        <v>85</v>
      </c>
      <c r="F596" s="16" t="s">
        <v>19</v>
      </c>
      <c r="G596" s="7" t="n">
        <v>1</v>
      </c>
      <c r="H596" s="6" t="n">
        <v>69.099</v>
      </c>
      <c r="I596" s="6" t="n">
        <v>-690.99</v>
      </c>
      <c r="J596" s="6" t="n">
        <v>-16.38</v>
      </c>
      <c r="K596" s="6" t="n">
        <v>-2.07</v>
      </c>
      <c r="L596" s="6" t="n">
        <v>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0" t="n">
        <v>45506.438888889</v>
      </c>
      <c r="B597" s="16" t="s">
        <v>118</v>
      </c>
      <c r="C597" s="16" t="s">
        <v>1192</v>
      </c>
      <c r="D597" s="16" t="s">
        <v>912</v>
      </c>
      <c r="E597" s="16" t="s">
        <v>85</v>
      </c>
      <c r="F597" s="16" t="s">
        <v>19</v>
      </c>
      <c r="G597" s="7" t="n">
        <v>1</v>
      </c>
      <c r="H597" s="6" t="n">
        <v>73.8</v>
      </c>
      <c r="I597" s="6" t="n">
        <v>-738</v>
      </c>
      <c r="J597" s="6" t="n">
        <v>-17.7</v>
      </c>
      <c r="K597" s="6" t="n">
        <v>-2.21</v>
      </c>
      <c r="L597" s="6" t="n">
        <v>0</v>
      </c>
      <c r="M597" s="6" t="s">
        <f>=I597+J597+K597+L597</f>
      </c>
      <c r="N597" s="6"/>
      <c r="O597" s="16"/>
    </row>
    <row collapsed="false" customFormat="false" customHeight="false" hidden="false" ht="12.1" outlineLevel="0" r="598">
      <c r="A598" s="20" t="n">
        <v>45506.439189815</v>
      </c>
      <c r="B598" s="16" t="s">
        <v>142</v>
      </c>
      <c r="C598" s="16" t="s">
        <v>1108</v>
      </c>
      <c r="D598" s="16" t="s">
        <v>912</v>
      </c>
      <c r="E598" s="16" t="s">
        <v>85</v>
      </c>
      <c r="F598" s="16" t="s">
        <v>19</v>
      </c>
      <c r="G598" s="7" t="n">
        <v>1</v>
      </c>
      <c r="H598" s="6" t="n">
        <v>104.395</v>
      </c>
      <c r="I598" s="6" t="n">
        <v>-1043.95</v>
      </c>
      <c r="J598" s="6" t="n">
        <v>-52.86</v>
      </c>
      <c r="K598" s="6" t="n">
        <v>-3.13</v>
      </c>
      <c r="L598" s="6" t="n">
        <v>0</v>
      </c>
      <c r="M598" s="6" t="s">
        <f>=I598+J598+K598+L598</f>
      </c>
      <c r="N598" s="6"/>
      <c r="O598" s="16"/>
    </row>
    <row collapsed="false" customFormat="false" customHeight="false" hidden="false" ht="12.1" outlineLevel="0" r="599">
      <c r="A599" s="20" t="n">
        <v>45506.439444444</v>
      </c>
      <c r="B599" s="16" t="s">
        <v>130</v>
      </c>
      <c r="C599" s="16" t="s">
        <v>1193</v>
      </c>
      <c r="D599" s="16" t="s">
        <v>912</v>
      </c>
      <c r="E599" s="16" t="s">
        <v>85</v>
      </c>
      <c r="F599" s="16" t="s">
        <v>19</v>
      </c>
      <c r="G599" s="7" t="n">
        <v>1</v>
      </c>
      <c r="H599" s="6" t="n">
        <v>80.998</v>
      </c>
      <c r="I599" s="6" t="n">
        <v>-809.98</v>
      </c>
      <c r="J599" s="6" t="n">
        <v>-40.38</v>
      </c>
      <c r="K599" s="6" t="n">
        <v>-2.43</v>
      </c>
      <c r="L599" s="6" t="n">
        <v>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0" t="n">
        <v>45506.439641204</v>
      </c>
      <c r="B600" s="16" t="s">
        <v>106</v>
      </c>
      <c r="C600" s="16" t="s">
        <v>1100</v>
      </c>
      <c r="D600" s="16" t="s">
        <v>912</v>
      </c>
      <c r="E600" s="16" t="s">
        <v>85</v>
      </c>
      <c r="F600" s="16" t="s">
        <v>19</v>
      </c>
      <c r="G600" s="7" t="n">
        <v>1</v>
      </c>
      <c r="H600" s="6" t="n">
        <v>57.244</v>
      </c>
      <c r="I600" s="6" t="n">
        <v>-572.44</v>
      </c>
      <c r="J600" s="6" t="n">
        <v>-26.16</v>
      </c>
      <c r="K600" s="6" t="n">
        <v>-1.72</v>
      </c>
      <c r="L600" s="6" t="n">
        <v>0</v>
      </c>
      <c r="M600" s="6" t="s">
        <f>=I600+J600+K600+L600</f>
      </c>
      <c r="N600" s="6"/>
      <c r="O600" s="16"/>
    </row>
    <row collapsed="false" customFormat="false" customHeight="false" hidden="false" ht="12.1" outlineLevel="0" r="601">
      <c r="A601" s="20" t="n">
        <v>45506.439849537</v>
      </c>
      <c r="B601" s="16" t="s">
        <v>127</v>
      </c>
      <c r="C601" s="16" t="s">
        <v>1099</v>
      </c>
      <c r="D601" s="16" t="s">
        <v>912</v>
      </c>
      <c r="E601" s="16" t="s">
        <v>85</v>
      </c>
      <c r="F601" s="16" t="s">
        <v>19</v>
      </c>
      <c r="G601" s="7" t="n">
        <v>1</v>
      </c>
      <c r="H601" s="6" t="n">
        <v>65.921</v>
      </c>
      <c r="I601" s="6" t="n">
        <v>-659.21</v>
      </c>
      <c r="J601" s="6" t="n">
        <v>-26.16</v>
      </c>
      <c r="K601" s="6" t="n">
        <v>-1.98</v>
      </c>
      <c r="L601" s="6" t="n">
        <v>0</v>
      </c>
      <c r="M601" s="6" t="s">
        <f>=I601+J601+K601+L601</f>
      </c>
      <c r="N601" s="6"/>
      <c r="O601" s="16"/>
    </row>
    <row collapsed="false" customFormat="false" customHeight="false" hidden="false" ht="12.1" outlineLevel="0" r="602">
      <c r="A602" s="25" t="n">
        <v>45506.579618056</v>
      </c>
      <c r="B602" s="26" t="s">
        <v>1089</v>
      </c>
      <c r="C602" s="26" t="s">
        <v>1166</v>
      </c>
      <c r="D602" s="26" t="s">
        <v>1089</v>
      </c>
      <c r="E602" s="26" t="s">
        <v>1089</v>
      </c>
      <c r="F602" s="26" t="s">
        <v>19</v>
      </c>
      <c r="G602" s="27" t="n">
        <v>1</v>
      </c>
      <c r="H602" s="28" t="n">
        <v>-159</v>
      </c>
      <c r="I602" s="28" t="n">
        <v>-159</v>
      </c>
      <c r="J602" s="28" t="n">
        <v>0</v>
      </c>
      <c r="K602" s="28" t="n">
        <v>0</v>
      </c>
      <c r="L602" s="28" t="n">
        <v>0</v>
      </c>
      <c r="M602" s="6" t="s">
        <f>=I602+J602+K602+L602</f>
      </c>
      <c r="N602" s="28"/>
      <c r="O602" s="26"/>
    </row>
    <row collapsed="false" customFormat="false" customHeight="false" hidden="false" ht="12.1" outlineLevel="0" r="603">
      <c r="A603" s="21" t="n">
        <v>45506.579618056</v>
      </c>
      <c r="B603" s="22" t="s">
        <v>1063</v>
      </c>
      <c r="C603" s="22" t="s">
        <v>1165</v>
      </c>
      <c r="D603" s="22" t="s">
        <v>1063</v>
      </c>
      <c r="E603" s="22" t="s">
        <v>1063</v>
      </c>
      <c r="F603" s="22" t="s">
        <v>19</v>
      </c>
      <c r="G603" s="23" t="n">
        <v>1</v>
      </c>
      <c r="H603" s="24" t="n">
        <v>1</v>
      </c>
      <c r="I603" s="24" t="n">
        <v>1229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4"/>
      <c r="O603" s="22"/>
    </row>
    <row collapsed="false" customFormat="false" customHeight="false" hidden="false" ht="12.1" outlineLevel="0" r="604">
      <c r="A604" s="21" t="n">
        <v>45506.590127315</v>
      </c>
      <c r="B604" s="22" t="s">
        <v>1063</v>
      </c>
      <c r="C604" s="22" t="s">
        <v>1163</v>
      </c>
      <c r="D604" s="22" t="s">
        <v>1063</v>
      </c>
      <c r="E604" s="22" t="s">
        <v>1063</v>
      </c>
      <c r="F604" s="22" t="s">
        <v>19</v>
      </c>
      <c r="G604" s="23" t="n">
        <v>1</v>
      </c>
      <c r="H604" s="24" t="n">
        <v>1</v>
      </c>
      <c r="I604" s="24" t="n">
        <v>85</v>
      </c>
      <c r="J604" s="24" t="n">
        <v>0</v>
      </c>
      <c r="K604" s="24" t="n">
        <v>0</v>
      </c>
      <c r="L604" s="24" t="n">
        <v>0</v>
      </c>
      <c r="M604" s="6" t="s">
        <f>=I604+J604+K604+L604</f>
      </c>
      <c r="N604" s="24"/>
      <c r="O604" s="22"/>
    </row>
    <row collapsed="false" customFormat="false" customHeight="false" hidden="false" ht="12.1" outlineLevel="0" r="605">
      <c r="A605" s="25" t="n">
        <v>45506.590127315</v>
      </c>
      <c r="B605" s="26" t="s">
        <v>1089</v>
      </c>
      <c r="C605" s="26" t="s">
        <v>1164</v>
      </c>
      <c r="D605" s="26" t="s">
        <v>1089</v>
      </c>
      <c r="E605" s="26" t="s">
        <v>1089</v>
      </c>
      <c r="F605" s="26" t="s">
        <v>19</v>
      </c>
      <c r="G605" s="27" t="n">
        <v>1</v>
      </c>
      <c r="H605" s="28" t="n">
        <v>-11</v>
      </c>
      <c r="I605" s="28" t="n">
        <v>-11</v>
      </c>
      <c r="J605" s="28" t="n">
        <v>0</v>
      </c>
      <c r="K605" s="28" t="n">
        <v>0</v>
      </c>
      <c r="L605" s="28" t="n">
        <v>0</v>
      </c>
      <c r="M605" s="6" t="s">
        <f>=I605+J605+K605+L605</f>
      </c>
      <c r="N605" s="28"/>
      <c r="O605" s="26"/>
    </row>
    <row collapsed="false" customFormat="false" customHeight="false" hidden="false" ht="12.1" outlineLevel="0" r="606">
      <c r="A606" s="21" t="n">
        <v>45510.462650463</v>
      </c>
      <c r="B606" s="22" t="s">
        <v>1063</v>
      </c>
      <c r="C606" s="22" t="s">
        <v>1119</v>
      </c>
      <c r="D606" s="22" t="s">
        <v>1063</v>
      </c>
      <c r="E606" s="22" t="s">
        <v>1063</v>
      </c>
      <c r="F606" s="22" t="s">
        <v>19</v>
      </c>
      <c r="G606" s="23" t="n">
        <v>1</v>
      </c>
      <c r="H606" s="24" t="n">
        <v>1</v>
      </c>
      <c r="I606" s="24" t="n">
        <v>53.1</v>
      </c>
      <c r="J606" s="24" t="n">
        <v>0</v>
      </c>
      <c r="K606" s="24" t="n">
        <v>0</v>
      </c>
      <c r="L606" s="24" t="n">
        <v>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1" t="n">
        <v>45512.488055556</v>
      </c>
      <c r="B607" s="22" t="s">
        <v>1063</v>
      </c>
      <c r="C607" s="22" t="s">
        <v>1238</v>
      </c>
      <c r="D607" s="22" t="s">
        <v>1063</v>
      </c>
      <c r="E607" s="22" t="s">
        <v>1063</v>
      </c>
      <c r="F607" s="22" t="s">
        <v>19</v>
      </c>
      <c r="G607" s="23" t="n">
        <v>1</v>
      </c>
      <c r="H607" s="24" t="n">
        <v>1</v>
      </c>
      <c r="I607" s="24" t="n">
        <v>37.64</v>
      </c>
      <c r="J607" s="24" t="n">
        <v>0</v>
      </c>
      <c r="K607" s="24" t="n">
        <v>0</v>
      </c>
      <c r="L607" s="24" t="n">
        <v>0</v>
      </c>
      <c r="M607" s="6" t="s">
        <f>=I607+J607+K607+L607</f>
      </c>
      <c r="N607" s="24"/>
      <c r="O607" s="22"/>
    </row>
    <row collapsed="false" customFormat="false" customHeight="false" hidden="false" ht="12.1" outlineLevel="0" r="608">
      <c r="A608" s="21" t="n">
        <v>45519.523773148</v>
      </c>
      <c r="B608" s="22" t="s">
        <v>1063</v>
      </c>
      <c r="C608" s="22" t="s">
        <v>1120</v>
      </c>
      <c r="D608" s="22" t="s">
        <v>1063</v>
      </c>
      <c r="E608" s="22" t="s">
        <v>1063</v>
      </c>
      <c r="F608" s="22" t="s">
        <v>19</v>
      </c>
      <c r="G608" s="23" t="n">
        <v>1</v>
      </c>
      <c r="H608" s="24" t="n">
        <v>1</v>
      </c>
      <c r="I608" s="24" t="n">
        <v>628.2</v>
      </c>
      <c r="J608" s="24" t="n">
        <v>0</v>
      </c>
      <c r="K608" s="24" t="n">
        <v>0</v>
      </c>
      <c r="L608" s="24" t="n">
        <v>0</v>
      </c>
      <c r="M608" s="6" t="s">
        <f>=I608+J608+K608+L608</f>
      </c>
      <c r="N608" s="24"/>
      <c r="O608" s="22"/>
    </row>
    <row collapsed="false" customFormat="false" customHeight="false" hidden="false" ht="12.1" outlineLevel="0" r="609">
      <c r="A609" s="21" t="n">
        <v>45519.689525463</v>
      </c>
      <c r="B609" s="22" t="s">
        <v>1063</v>
      </c>
      <c r="C609" s="22" t="s">
        <v>1214</v>
      </c>
      <c r="D609" s="22" t="s">
        <v>1063</v>
      </c>
      <c r="E609" s="22" t="s">
        <v>1063</v>
      </c>
      <c r="F609" s="22" t="s">
        <v>19</v>
      </c>
      <c r="G609" s="23" t="n">
        <v>1</v>
      </c>
      <c r="H609" s="24" t="n">
        <v>1</v>
      </c>
      <c r="I609" s="24" t="n">
        <v>4.67</v>
      </c>
      <c r="J609" s="24" t="n">
        <v>0</v>
      </c>
      <c r="K609" s="24" t="n">
        <v>0</v>
      </c>
      <c r="L609" s="24" t="n">
        <v>0</v>
      </c>
      <c r="M609" s="6" t="s">
        <f>=I609+J609+K609+L609</f>
      </c>
      <c r="N609" s="24"/>
      <c r="O609" s="22"/>
    </row>
    <row collapsed="false" customFormat="false" customHeight="false" hidden="false" ht="12.1" outlineLevel="0" r="610">
      <c r="A610" s="21" t="n">
        <v>45523.477164352</v>
      </c>
      <c r="B610" s="22" t="s">
        <v>1063</v>
      </c>
      <c r="C610" s="22" t="s">
        <v>1173</v>
      </c>
      <c r="D610" s="22" t="s">
        <v>1063</v>
      </c>
      <c r="E610" s="22" t="s">
        <v>1063</v>
      </c>
      <c r="F610" s="22" t="s">
        <v>19</v>
      </c>
      <c r="G610" s="23" t="n">
        <v>1</v>
      </c>
      <c r="H610" s="24" t="n">
        <v>1</v>
      </c>
      <c r="I610" s="24" t="n">
        <v>51.61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4"/>
      <c r="O610" s="22"/>
    </row>
    <row collapsed="false" customFormat="false" customHeight="false" hidden="false" ht="12.1" outlineLevel="0" r="611">
      <c r="A611" s="21" t="n">
        <v>45524.365173611</v>
      </c>
      <c r="B611" s="22" t="s">
        <v>1063</v>
      </c>
      <c r="C611" s="22" t="s">
        <v>1137</v>
      </c>
      <c r="D611" s="22" t="s">
        <v>1063</v>
      </c>
      <c r="E611" s="22" t="s">
        <v>1063</v>
      </c>
      <c r="F611" s="22" t="s">
        <v>19</v>
      </c>
      <c r="G611" s="23" t="n">
        <v>1</v>
      </c>
      <c r="H611" s="24" t="n">
        <v>1</v>
      </c>
      <c r="I611" s="24" t="n">
        <v>55.1</v>
      </c>
      <c r="J611" s="24" t="n">
        <v>0</v>
      </c>
      <c r="K611" s="24" t="n">
        <v>0</v>
      </c>
      <c r="L611" s="24" t="n">
        <v>0</v>
      </c>
      <c r="M611" s="6" t="s">
        <f>=I611+J611+K611+L611</f>
      </c>
      <c r="N611" s="24"/>
      <c r="O611" s="22"/>
    </row>
    <row collapsed="false" customFormat="false" customHeight="false" hidden="false" ht="12.1" outlineLevel="0" r="612">
      <c r="A612" s="21" t="n">
        <v>45524.370798611</v>
      </c>
      <c r="B612" s="22" t="s">
        <v>1073</v>
      </c>
      <c r="C612" s="22" t="s">
        <v>1215</v>
      </c>
      <c r="D612" s="22" t="s">
        <v>1073</v>
      </c>
      <c r="E612" s="22" t="s">
        <v>1073</v>
      </c>
      <c r="F612" s="22" t="s">
        <v>19</v>
      </c>
      <c r="G612" s="23" t="n">
        <v>1</v>
      </c>
      <c r="H612" s="24" t="n">
        <v>1</v>
      </c>
      <c r="I612" s="24" t="n">
        <v>400</v>
      </c>
      <c r="J612" s="24" t="n">
        <v>0</v>
      </c>
      <c r="K612" s="24" t="n">
        <v>0</v>
      </c>
      <c r="L612" s="24" t="n">
        <v>0</v>
      </c>
      <c r="M612" s="6" t="s">
        <f>=I612+J612+K612+L612</f>
      </c>
      <c r="N612" s="24"/>
      <c r="O612" s="22"/>
    </row>
    <row collapsed="false" customFormat="false" customHeight="false" hidden="false" ht="12.1" outlineLevel="0" r="613">
      <c r="A613" s="21" t="n">
        <v>45526.58587963</v>
      </c>
      <c r="B613" s="22" t="s">
        <v>1073</v>
      </c>
      <c r="C613" s="22" t="s">
        <v>1239</v>
      </c>
      <c r="D613" s="22" t="s">
        <v>1073</v>
      </c>
      <c r="E613" s="22" t="s">
        <v>1073</v>
      </c>
      <c r="F613" s="22" t="s">
        <v>19</v>
      </c>
      <c r="G613" s="23" t="n">
        <v>1</v>
      </c>
      <c r="H613" s="24" t="n">
        <v>1</v>
      </c>
      <c r="I613" s="24" t="n">
        <v>250</v>
      </c>
      <c r="J613" s="24" t="n">
        <v>0</v>
      </c>
      <c r="K613" s="24" t="n">
        <v>0</v>
      </c>
      <c r="L613" s="24" t="n">
        <v>0</v>
      </c>
      <c r="M613" s="6" t="s">
        <f>=I613+J613+K613+L613</f>
      </c>
      <c r="N613" s="24"/>
      <c r="O613" s="22"/>
    </row>
    <row collapsed="false" customFormat="false" customHeight="false" hidden="false" ht="12.1" outlineLevel="0" r="614">
      <c r="A614" s="21" t="n">
        <v>45526.586539352</v>
      </c>
      <c r="B614" s="22" t="s">
        <v>1063</v>
      </c>
      <c r="C614" s="22" t="s">
        <v>1064</v>
      </c>
      <c r="D614" s="22" t="s">
        <v>1063</v>
      </c>
      <c r="E614" s="22" t="s">
        <v>1063</v>
      </c>
      <c r="F614" s="22" t="s">
        <v>19</v>
      </c>
      <c r="G614" s="23" t="n">
        <v>1</v>
      </c>
      <c r="H614" s="24" t="n">
        <v>1</v>
      </c>
      <c r="I614" s="24" t="n">
        <v>5.36</v>
      </c>
      <c r="J614" s="24" t="n">
        <v>0</v>
      </c>
      <c r="K614" s="24" t="n">
        <v>0</v>
      </c>
      <c r="L614" s="24" t="n">
        <v>0</v>
      </c>
      <c r="M614" s="6" t="s">
        <f>=I614+J614+K614+L614</f>
      </c>
      <c r="N614" s="24"/>
      <c r="O614" s="22"/>
    </row>
    <row collapsed="false" customFormat="false" customHeight="false" hidden="false" ht="12.1" outlineLevel="0" r="615">
      <c r="A615" s="21" t="n">
        <v>45527.652071759</v>
      </c>
      <c r="B615" s="22" t="s">
        <v>1063</v>
      </c>
      <c r="C615" s="22" t="s">
        <v>1142</v>
      </c>
      <c r="D615" s="22" t="s">
        <v>1063</v>
      </c>
      <c r="E615" s="22" t="s">
        <v>1063</v>
      </c>
      <c r="F615" s="22" t="s">
        <v>19</v>
      </c>
      <c r="G615" s="23" t="n">
        <v>1</v>
      </c>
      <c r="H615" s="24" t="n">
        <v>1</v>
      </c>
      <c r="I615" s="24" t="n">
        <v>8.66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4"/>
      <c r="O615" s="22"/>
    </row>
    <row collapsed="false" customFormat="false" customHeight="false" hidden="false" ht="12.1" outlineLevel="0" r="616">
      <c r="A616" s="21" t="n">
        <v>45530.535046296</v>
      </c>
      <c r="B616" s="22" t="s">
        <v>1063</v>
      </c>
      <c r="C616" s="22" t="s">
        <v>1207</v>
      </c>
      <c r="D616" s="22" t="s">
        <v>1063</v>
      </c>
      <c r="E616" s="22" t="s">
        <v>1063</v>
      </c>
      <c r="F616" s="22" t="s">
        <v>19</v>
      </c>
      <c r="G616" s="23" t="n">
        <v>1</v>
      </c>
      <c r="H616" s="24" t="n">
        <v>1</v>
      </c>
      <c r="I616" s="24" t="n">
        <v>14.54</v>
      </c>
      <c r="J616" s="24" t="n">
        <v>0</v>
      </c>
      <c r="K616" s="24" t="n">
        <v>0</v>
      </c>
      <c r="L616" s="24" t="n">
        <v>0</v>
      </c>
      <c r="M616" s="6" t="s">
        <f>=I616+J616+K616+L616</f>
      </c>
      <c r="N616" s="24"/>
      <c r="O616" s="22"/>
    </row>
    <row collapsed="false" customFormat="false" customHeight="false" hidden="false" ht="12.1" outlineLevel="0" r="617">
      <c r="A617" s="21" t="n">
        <v>45531.584733796</v>
      </c>
      <c r="B617" s="22" t="s">
        <v>1063</v>
      </c>
      <c r="C617" s="22" t="s">
        <v>1174</v>
      </c>
      <c r="D617" s="22" t="s">
        <v>1063</v>
      </c>
      <c r="E617" s="22" t="s">
        <v>1063</v>
      </c>
      <c r="F617" s="22" t="s">
        <v>19</v>
      </c>
      <c r="G617" s="23" t="n">
        <v>1</v>
      </c>
      <c r="H617" s="24" t="n">
        <v>1</v>
      </c>
      <c r="I617" s="24" t="n">
        <v>29.5</v>
      </c>
      <c r="J617" s="24" t="n">
        <v>0</v>
      </c>
      <c r="K617" s="24" t="n">
        <v>0</v>
      </c>
      <c r="L617" s="24" t="n">
        <v>0</v>
      </c>
      <c r="M617" s="6" t="s">
        <f>=I617+J617+K617+L617</f>
      </c>
      <c r="N617" s="24"/>
      <c r="O617" s="22"/>
    </row>
    <row collapsed="false" customFormat="false" customHeight="false" hidden="false" ht="12.1" outlineLevel="0" r="618">
      <c r="A618" s="21" t="n">
        <v>45533.647141204</v>
      </c>
      <c r="B618" s="22" t="s">
        <v>1063</v>
      </c>
      <c r="C618" s="22" t="s">
        <v>1235</v>
      </c>
      <c r="D618" s="22" t="s">
        <v>1063</v>
      </c>
      <c r="E618" s="22" t="s">
        <v>1063</v>
      </c>
      <c r="F618" s="22" t="s">
        <v>19</v>
      </c>
      <c r="G618" s="23" t="n">
        <v>1</v>
      </c>
      <c r="H618" s="24" t="n">
        <v>1</v>
      </c>
      <c r="I618" s="24" t="n">
        <v>28.1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4"/>
      <c r="O618" s="22"/>
    </row>
    <row collapsed="false" customFormat="false" customHeight="false" hidden="false" ht="12.1" outlineLevel="0" r="619">
      <c r="A619" s="21" t="n">
        <v>45537.6315625</v>
      </c>
      <c r="B619" s="22" t="s">
        <v>1063</v>
      </c>
      <c r="C619" s="22" t="s">
        <v>1105</v>
      </c>
      <c r="D619" s="22" t="s">
        <v>1063</v>
      </c>
      <c r="E619" s="22" t="s">
        <v>1063</v>
      </c>
      <c r="F619" s="22" t="s">
        <v>19</v>
      </c>
      <c r="G619" s="23" t="n">
        <v>1</v>
      </c>
      <c r="H619" s="24" t="n">
        <v>1</v>
      </c>
      <c r="I619" s="24" t="n">
        <v>24.81</v>
      </c>
      <c r="J619" s="24" t="n">
        <v>0</v>
      </c>
      <c r="K619" s="24" t="n">
        <v>0</v>
      </c>
      <c r="L619" s="24" t="n">
        <v>0</v>
      </c>
      <c r="M619" s="6" t="s">
        <f>=I619+J619+K619+L619</f>
      </c>
      <c r="N619" s="24"/>
      <c r="O619" s="22"/>
    </row>
    <row collapsed="false" customFormat="false" customHeight="false" hidden="false" ht="12.1" outlineLevel="0" r="620">
      <c r="A620" s="21" t="n">
        <v>45538.642083333</v>
      </c>
      <c r="B620" s="22" t="s">
        <v>1063</v>
      </c>
      <c r="C620" s="22" t="s">
        <v>1218</v>
      </c>
      <c r="D620" s="22" t="s">
        <v>1063</v>
      </c>
      <c r="E620" s="22" t="s">
        <v>1063</v>
      </c>
      <c r="F620" s="22" t="s">
        <v>19</v>
      </c>
      <c r="G620" s="23" t="n">
        <v>1</v>
      </c>
      <c r="H620" s="24" t="n">
        <v>1</v>
      </c>
      <c r="I620" s="24" t="n">
        <v>39.9</v>
      </c>
      <c r="J620" s="24" t="n">
        <v>0</v>
      </c>
      <c r="K620" s="24" t="n">
        <v>0</v>
      </c>
      <c r="L620" s="24" t="n">
        <v>0</v>
      </c>
      <c r="M620" s="6" t="s">
        <f>=I620+J620+K620+L620</f>
      </c>
      <c r="N620" s="24"/>
      <c r="O620" s="22"/>
    </row>
    <row collapsed="false" customFormat="false" customHeight="false" hidden="false" ht="12.1" outlineLevel="0" r="621">
      <c r="A621" s="21" t="n">
        <v>45540.383263889</v>
      </c>
      <c r="B621" s="22" t="s">
        <v>1063</v>
      </c>
      <c r="C621" s="22" t="s">
        <v>1240</v>
      </c>
      <c r="D621" s="22" t="s">
        <v>1063</v>
      </c>
      <c r="E621" s="22" t="s">
        <v>1063</v>
      </c>
      <c r="F621" s="22" t="s">
        <v>19</v>
      </c>
      <c r="G621" s="23" t="n">
        <v>1</v>
      </c>
      <c r="H621" s="24" t="n">
        <v>1</v>
      </c>
      <c r="I621" s="24" t="n">
        <v>179.52</v>
      </c>
      <c r="J621" s="24" t="n">
        <v>0</v>
      </c>
      <c r="K621" s="24" t="n">
        <v>0</v>
      </c>
      <c r="L621" s="24" t="n">
        <v>0</v>
      </c>
      <c r="M621" s="6" t="s">
        <f>=I621+J621+K621+L621</f>
      </c>
      <c r="N621" s="24"/>
      <c r="O621" s="22"/>
    </row>
    <row collapsed="false" customFormat="false" customHeight="false" hidden="false" ht="12.1" outlineLevel="0" r="622">
      <c r="A622" s="21" t="n">
        <v>45540.400081019</v>
      </c>
      <c r="B622" s="22" t="s">
        <v>1063</v>
      </c>
      <c r="C622" s="22" t="s">
        <v>1123</v>
      </c>
      <c r="D622" s="22" t="s">
        <v>1063</v>
      </c>
      <c r="E622" s="22" t="s">
        <v>1063</v>
      </c>
      <c r="F622" s="22" t="s">
        <v>19</v>
      </c>
      <c r="G622" s="23" t="n">
        <v>1</v>
      </c>
      <c r="H622" s="24" t="n">
        <v>1</v>
      </c>
      <c r="I622" s="24" t="n">
        <v>78.63</v>
      </c>
      <c r="J622" s="24" t="n">
        <v>0</v>
      </c>
      <c r="K622" s="24" t="n">
        <v>0</v>
      </c>
      <c r="L622" s="24" t="n">
        <v>0</v>
      </c>
      <c r="M622" s="6" t="s">
        <f>=I622+J622+K622+L622</f>
      </c>
      <c r="N622" s="24"/>
      <c r="O622" s="22"/>
    </row>
    <row collapsed="false" customFormat="false" customHeight="false" hidden="false" ht="12.1" outlineLevel="0" r="623">
      <c r="A623" s="21" t="n">
        <v>45540.736053241</v>
      </c>
      <c r="B623" s="22" t="s">
        <v>1063</v>
      </c>
      <c r="C623" s="22" t="s">
        <v>1106</v>
      </c>
      <c r="D623" s="22" t="s">
        <v>1063</v>
      </c>
      <c r="E623" s="22" t="s">
        <v>1063</v>
      </c>
      <c r="F623" s="22" t="s">
        <v>19</v>
      </c>
      <c r="G623" s="23" t="n">
        <v>1</v>
      </c>
      <c r="H623" s="24" t="n">
        <v>1</v>
      </c>
      <c r="I623" s="24" t="n">
        <v>19.87</v>
      </c>
      <c r="J623" s="24" t="n">
        <v>0</v>
      </c>
      <c r="K623" s="24" t="n">
        <v>0</v>
      </c>
      <c r="L623" s="24" t="n">
        <v>0</v>
      </c>
      <c r="M623" s="6" t="s">
        <f>=I623+J623+K623+L623</f>
      </c>
      <c r="N623" s="24"/>
      <c r="O623" s="22"/>
    </row>
    <row collapsed="false" customFormat="false" customHeight="false" hidden="false" ht="12.1" outlineLevel="0" r="624">
      <c r="A624" s="21" t="n">
        <v>45541.437962963</v>
      </c>
      <c r="B624" s="22" t="s">
        <v>1056</v>
      </c>
      <c r="C624" s="22" t="s">
        <v>350</v>
      </c>
      <c r="D624" s="22" t="s">
        <v>1056</v>
      </c>
      <c r="E624" s="22" t="s">
        <v>1056</v>
      </c>
      <c r="F624" s="22" t="s">
        <v>19</v>
      </c>
      <c r="G624" s="23" t="n">
        <v>1</v>
      </c>
      <c r="H624" s="24" t="n">
        <v>1</v>
      </c>
      <c r="I624" s="24" t="n">
        <v>11200</v>
      </c>
      <c r="J624" s="24" t="n">
        <v>0</v>
      </c>
      <c r="K624" s="24" t="n">
        <v>0</v>
      </c>
      <c r="L624" s="24" t="n">
        <v>0</v>
      </c>
      <c r="M624" s="6" t="s">
        <f>=I624+J624+K624+L624</f>
      </c>
      <c r="N624" s="24"/>
      <c r="O624" s="22"/>
    </row>
    <row collapsed="false" customFormat="false" customHeight="false" hidden="false" ht="12.1" outlineLevel="0" r="625">
      <c r="A625" s="20" t="n">
        <v>45541.441898148</v>
      </c>
      <c r="B625" s="16" t="s">
        <v>65</v>
      </c>
      <c r="C625" s="16" t="s">
        <v>1213</v>
      </c>
      <c r="D625" s="16" t="s">
        <v>912</v>
      </c>
      <c r="E625" s="16" t="s">
        <v>17</v>
      </c>
      <c r="F625" s="16" t="s">
        <v>19</v>
      </c>
      <c r="G625" s="7" t="n">
        <v>10</v>
      </c>
      <c r="H625" s="6" t="n">
        <v>105.34</v>
      </c>
      <c r="I625" s="6" t="n">
        <v>-1053.4</v>
      </c>
      <c r="J625" s="6" t="n">
        <v>0</v>
      </c>
      <c r="K625" s="6" t="n">
        <v>-3.16</v>
      </c>
      <c r="L625" s="6" t="n">
        <v>0</v>
      </c>
      <c r="M625" s="6" t="s">
        <f>=I625+J625+K625+L625</f>
      </c>
      <c r="N625" s="6"/>
      <c r="O625" s="16"/>
    </row>
    <row collapsed="false" customFormat="false" customHeight="false" hidden="false" ht="12.1" outlineLevel="0" r="626">
      <c r="A626" s="20" t="n">
        <v>45541.442291667</v>
      </c>
      <c r="B626" s="16" t="s">
        <v>79</v>
      </c>
      <c r="C626" s="16" t="s">
        <v>1221</v>
      </c>
      <c r="D626" s="16" t="s">
        <v>912</v>
      </c>
      <c r="E626" s="16" t="s">
        <v>17</v>
      </c>
      <c r="F626" s="16" t="s">
        <v>19</v>
      </c>
      <c r="G626" s="7" t="n">
        <v>10</v>
      </c>
      <c r="H626" s="6" t="n">
        <v>30.12</v>
      </c>
      <c r="I626" s="6" t="n">
        <v>-301.2</v>
      </c>
      <c r="J626" s="6" t="n">
        <v>0</v>
      </c>
      <c r="K626" s="6" t="n">
        <v>-0.9</v>
      </c>
      <c r="L626" s="6" t="n">
        <v>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0" t="n">
        <v>45541.442662037</v>
      </c>
      <c r="B627" s="16" t="s">
        <v>42</v>
      </c>
      <c r="C627" s="16" t="s">
        <v>1077</v>
      </c>
      <c r="D627" s="16" t="s">
        <v>912</v>
      </c>
      <c r="E627" s="16" t="s">
        <v>17</v>
      </c>
      <c r="F627" s="16" t="s">
        <v>19</v>
      </c>
      <c r="G627" s="7" t="n">
        <v>100</v>
      </c>
      <c r="H627" s="6" t="n">
        <v>3.629</v>
      </c>
      <c r="I627" s="6" t="n">
        <v>-362.9</v>
      </c>
      <c r="J627" s="6" t="n">
        <v>0</v>
      </c>
      <c r="K627" s="6" t="n">
        <v>-1.09</v>
      </c>
      <c r="L627" s="6" t="n">
        <v>0</v>
      </c>
      <c r="M627" s="6" t="s">
        <f>=I627+J627+K627+L627</f>
      </c>
      <c r="N627" s="6"/>
      <c r="O627" s="16"/>
    </row>
    <row collapsed="false" customFormat="false" customHeight="false" hidden="false" ht="12.1" outlineLevel="0" r="628">
      <c r="A628" s="20" t="n">
        <v>45541.443148148</v>
      </c>
      <c r="B628" s="16" t="s">
        <v>51</v>
      </c>
      <c r="C628" s="16" t="s">
        <v>1071</v>
      </c>
      <c r="D628" s="16" t="s">
        <v>912</v>
      </c>
      <c r="E628" s="16" t="s">
        <v>17</v>
      </c>
      <c r="F628" s="16" t="s">
        <v>19</v>
      </c>
      <c r="G628" s="7" t="n">
        <v>8</v>
      </c>
      <c r="H628" s="6" t="n">
        <v>87.11</v>
      </c>
      <c r="I628" s="6" t="n">
        <v>-696.88</v>
      </c>
      <c r="J628" s="6" t="n">
        <v>0</v>
      </c>
      <c r="K628" s="6" t="n">
        <v>-2.09</v>
      </c>
      <c r="L628" s="6" t="n">
        <v>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0" t="n">
        <v>45541.443368056</v>
      </c>
      <c r="B629" s="16" t="s">
        <v>933</v>
      </c>
      <c r="C629" s="16" t="s">
        <v>1197</v>
      </c>
      <c r="D629" s="16" t="s">
        <v>912</v>
      </c>
      <c r="E629" s="16" t="s">
        <v>17</v>
      </c>
      <c r="F629" s="16" t="s">
        <v>19</v>
      </c>
      <c r="G629" s="7" t="n">
        <v>10</v>
      </c>
      <c r="H629" s="6" t="n">
        <v>90.05</v>
      </c>
      <c r="I629" s="6" t="n">
        <v>-900.5</v>
      </c>
      <c r="J629" s="6" t="n">
        <v>0</v>
      </c>
      <c r="K629" s="6" t="n">
        <v>-2.7</v>
      </c>
      <c r="L629" s="6" t="n">
        <v>0</v>
      </c>
      <c r="M629" s="6" t="s">
        <f>=I629+J629+K629+L629</f>
      </c>
      <c r="N629" s="6"/>
      <c r="O629" s="16"/>
    </row>
    <row collapsed="false" customFormat="false" customHeight="false" hidden="false" ht="12.1" outlineLevel="0" r="630">
      <c r="A630" s="20" t="n">
        <v>45541.443587963</v>
      </c>
      <c r="B630" s="16" t="s">
        <v>67</v>
      </c>
      <c r="C630" s="16" t="s">
        <v>1115</v>
      </c>
      <c r="D630" s="16" t="s">
        <v>912</v>
      </c>
      <c r="E630" s="16" t="s">
        <v>17</v>
      </c>
      <c r="F630" s="16" t="s">
        <v>19</v>
      </c>
      <c r="G630" s="7" t="n">
        <v>100</v>
      </c>
      <c r="H630" s="6" t="n">
        <v>16.079</v>
      </c>
      <c r="I630" s="6" t="n">
        <v>-1607.9</v>
      </c>
      <c r="J630" s="6" t="n">
        <v>0</v>
      </c>
      <c r="K630" s="6" t="n">
        <v>-4.82</v>
      </c>
      <c r="L630" s="6" t="n">
        <v>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0" t="n">
        <v>45541.443773148</v>
      </c>
      <c r="B631" s="16" t="s">
        <v>59</v>
      </c>
      <c r="C631" s="16" t="s">
        <v>1121</v>
      </c>
      <c r="D631" s="16" t="s">
        <v>912</v>
      </c>
      <c r="E631" s="16" t="s">
        <v>17</v>
      </c>
      <c r="F631" s="16" t="s">
        <v>19</v>
      </c>
      <c r="G631" s="7" t="n">
        <v>10</v>
      </c>
      <c r="H631" s="6" t="n">
        <v>47.82</v>
      </c>
      <c r="I631" s="6" t="n">
        <v>-478.2</v>
      </c>
      <c r="J631" s="6" t="n">
        <v>0</v>
      </c>
      <c r="K631" s="6" t="n">
        <v>-1.43</v>
      </c>
      <c r="L631" s="6" t="n">
        <v>0</v>
      </c>
      <c r="M631" s="6" t="s">
        <f>=I631+J631+K631+L631</f>
      </c>
      <c r="N631" s="6"/>
      <c r="O631" s="16"/>
    </row>
    <row collapsed="false" customFormat="false" customHeight="false" hidden="false" ht="12.1" outlineLevel="0" r="632">
      <c r="A632" s="20" t="n">
        <v>45541.444988426</v>
      </c>
      <c r="B632" s="16" t="s">
        <v>226</v>
      </c>
      <c r="C632" s="16" t="s">
        <v>1225</v>
      </c>
      <c r="D632" s="16" t="s">
        <v>912</v>
      </c>
      <c r="E632" s="16" t="s">
        <v>85</v>
      </c>
      <c r="F632" s="16" t="s">
        <v>19</v>
      </c>
      <c r="G632" s="7" t="n">
        <v>1</v>
      </c>
      <c r="H632" s="6" t="n">
        <v>84.52</v>
      </c>
      <c r="I632" s="6" t="n">
        <v>-845.2</v>
      </c>
      <c r="J632" s="6" t="n">
        <v>-13.14</v>
      </c>
      <c r="K632" s="6" t="n">
        <v>-2.54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45541.453263889</v>
      </c>
      <c r="B633" s="16" t="s">
        <v>323</v>
      </c>
      <c r="C633" s="16" t="s">
        <v>1241</v>
      </c>
      <c r="D633" s="16" t="s">
        <v>912</v>
      </c>
      <c r="E633" s="16" t="s">
        <v>85</v>
      </c>
      <c r="F633" s="16" t="s">
        <v>19</v>
      </c>
      <c r="G633" s="7" t="n">
        <v>1</v>
      </c>
      <c r="H633" s="6" t="n">
        <v>87.11</v>
      </c>
      <c r="I633" s="6" t="n">
        <v>-871.1</v>
      </c>
      <c r="J633" s="6" t="n">
        <v>-5.22</v>
      </c>
      <c r="K633" s="6" t="n">
        <v>-2.61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45541.453726852</v>
      </c>
      <c r="B634" s="16" t="s">
        <v>281</v>
      </c>
      <c r="C634" s="16" t="s">
        <v>1242</v>
      </c>
      <c r="D634" s="16" t="s">
        <v>912</v>
      </c>
      <c r="E634" s="16" t="s">
        <v>85</v>
      </c>
      <c r="F634" s="16" t="s">
        <v>19</v>
      </c>
      <c r="G634" s="7" t="n">
        <v>1</v>
      </c>
      <c r="H634" s="6" t="n">
        <v>90.83</v>
      </c>
      <c r="I634" s="6" t="n">
        <v>-908.3</v>
      </c>
      <c r="J634" s="6" t="n">
        <v>-1.5600000000001</v>
      </c>
      <c r="K634" s="6" t="n">
        <v>-2.72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45541.455138889</v>
      </c>
      <c r="B635" s="16" t="s">
        <v>172</v>
      </c>
      <c r="C635" s="16" t="s">
        <v>1243</v>
      </c>
      <c r="D635" s="16" t="s">
        <v>912</v>
      </c>
      <c r="E635" s="16" t="s">
        <v>85</v>
      </c>
      <c r="F635" s="16" t="s">
        <v>19</v>
      </c>
      <c r="G635" s="7" t="n">
        <v>1</v>
      </c>
      <c r="H635" s="6" t="n">
        <v>80.06</v>
      </c>
      <c r="I635" s="6" t="n">
        <v>-800.6</v>
      </c>
      <c r="J635" s="6" t="n">
        <v>-3.5599999999999</v>
      </c>
      <c r="K635" s="6" t="n">
        <v>-2.4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45541.455462963</v>
      </c>
      <c r="B636" s="16" t="s">
        <v>160</v>
      </c>
      <c r="C636" s="16" t="s">
        <v>1244</v>
      </c>
      <c r="D636" s="16" t="s">
        <v>912</v>
      </c>
      <c r="E636" s="16" t="s">
        <v>85</v>
      </c>
      <c r="F636" s="16" t="s">
        <v>19</v>
      </c>
      <c r="G636" s="7" t="n">
        <v>1</v>
      </c>
      <c r="H636" s="6" t="n">
        <v>83.21</v>
      </c>
      <c r="I636" s="6" t="n">
        <v>-832.1</v>
      </c>
      <c r="J636" s="6" t="n">
        <v>-6.84</v>
      </c>
      <c r="K636" s="6" t="n">
        <v>-2.5</v>
      </c>
      <c r="L636" s="6" t="n">
        <v>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0" t="n">
        <v>45541.456759259</v>
      </c>
      <c r="B637" s="16" t="s">
        <v>299</v>
      </c>
      <c r="C637" s="16" t="s">
        <v>1245</v>
      </c>
      <c r="D637" s="16" t="s">
        <v>912</v>
      </c>
      <c r="E637" s="16" t="s">
        <v>85</v>
      </c>
      <c r="F637" s="16" t="s">
        <v>19</v>
      </c>
      <c r="G637" s="7" t="n">
        <v>1</v>
      </c>
      <c r="H637" s="6" t="n">
        <v>78.57</v>
      </c>
      <c r="I637" s="6" t="n">
        <v>-785.7</v>
      </c>
      <c r="J637" s="6" t="n">
        <v>-9.9599999999999</v>
      </c>
      <c r="K637" s="6" t="n">
        <v>-2.36</v>
      </c>
      <c r="L637" s="6" t="n">
        <v>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45541.457685185</v>
      </c>
      <c r="B638" s="16" t="s">
        <v>266</v>
      </c>
      <c r="C638" s="16" t="s">
        <v>1246</v>
      </c>
      <c r="D638" s="16" t="s">
        <v>912</v>
      </c>
      <c r="E638" s="16" t="s">
        <v>85</v>
      </c>
      <c r="F638" s="16" t="s">
        <v>19</v>
      </c>
      <c r="G638" s="7" t="n">
        <v>1</v>
      </c>
      <c r="H638" s="6" t="n">
        <v>83.76</v>
      </c>
      <c r="I638" s="6" t="n">
        <v>-837.6</v>
      </c>
      <c r="J638" s="6" t="n">
        <v>-1.92</v>
      </c>
      <c r="K638" s="6" t="n">
        <v>-2.51</v>
      </c>
      <c r="L638" s="6" t="n">
        <v>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0" t="n">
        <v>45541.458043981</v>
      </c>
      <c r="B639" s="16" t="s">
        <v>320</v>
      </c>
      <c r="C639" s="16" t="s">
        <v>1247</v>
      </c>
      <c r="D639" s="16" t="s">
        <v>912</v>
      </c>
      <c r="E639" s="16" t="s">
        <v>85</v>
      </c>
      <c r="F639" s="16" t="s">
        <v>19</v>
      </c>
      <c r="G639" s="7" t="n">
        <v>1</v>
      </c>
      <c r="H639" s="6" t="n">
        <v>73.39</v>
      </c>
      <c r="I639" s="6" t="n">
        <v>-733.9</v>
      </c>
      <c r="J639" s="6" t="n">
        <v>-1.0700000000001</v>
      </c>
      <c r="K639" s="6" t="n">
        <v>-2.2</v>
      </c>
      <c r="L639" s="6" t="n">
        <v>0</v>
      </c>
      <c r="M639" s="6" t="s">
        <f>=I639+J639+K639+L639</f>
      </c>
      <c r="N639" s="6"/>
      <c r="O639" s="16"/>
    </row>
    <row collapsed="false" customFormat="false" customHeight="false" hidden="false" ht="12.1" outlineLevel="0" r="640">
      <c r="A640" s="20" t="n">
        <v>45541.461006944</v>
      </c>
      <c r="B640" s="16" t="s">
        <v>214</v>
      </c>
      <c r="C640" s="16" t="s">
        <v>1248</v>
      </c>
      <c r="D640" s="16" t="s">
        <v>912</v>
      </c>
      <c r="E640" s="16" t="s">
        <v>85</v>
      </c>
      <c r="F640" s="16" t="s">
        <v>19</v>
      </c>
      <c r="G640" s="7" t="n">
        <v>1</v>
      </c>
      <c r="H640" s="6" t="n">
        <v>80.08</v>
      </c>
      <c r="I640" s="6" t="n">
        <v>-800.8</v>
      </c>
      <c r="J640" s="6" t="n">
        <v>-14.63</v>
      </c>
      <c r="K640" s="6" t="n">
        <v>-2.4</v>
      </c>
      <c r="L640" s="6" t="n">
        <v>0</v>
      </c>
      <c r="M640" s="6" t="s">
        <f>=I640+J640+K640+L640</f>
      </c>
      <c r="N640" s="6"/>
      <c r="O640" s="16"/>
    </row>
    <row collapsed="false" customFormat="false" customHeight="false" hidden="false" ht="12.1" outlineLevel="0" r="641">
      <c r="A641" s="20" t="n">
        <v>45541.461423611</v>
      </c>
      <c r="B641" s="16" t="s">
        <v>305</v>
      </c>
      <c r="C641" s="16" t="s">
        <v>1249</v>
      </c>
      <c r="D641" s="16" t="s">
        <v>912</v>
      </c>
      <c r="E641" s="16" t="s">
        <v>85</v>
      </c>
      <c r="F641" s="16" t="s">
        <v>19</v>
      </c>
      <c r="G641" s="7" t="n">
        <v>1</v>
      </c>
      <c r="H641" s="6" t="n">
        <v>80.6</v>
      </c>
      <c r="I641" s="6" t="n">
        <v>-806</v>
      </c>
      <c r="J641" s="6" t="n">
        <v>-15.53</v>
      </c>
      <c r="K641" s="6" t="n">
        <v>-2.42</v>
      </c>
      <c r="L641" s="6" t="n">
        <v>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45541.46181713</v>
      </c>
      <c r="B642" s="16" t="s">
        <v>308</v>
      </c>
      <c r="C642" s="16" t="s">
        <v>1250</v>
      </c>
      <c r="D642" s="16" t="s">
        <v>912</v>
      </c>
      <c r="E642" s="16" t="s">
        <v>85</v>
      </c>
      <c r="F642" s="16" t="s">
        <v>19</v>
      </c>
      <c r="G642" s="7" t="n">
        <v>1</v>
      </c>
      <c r="H642" s="6" t="n">
        <v>82.82</v>
      </c>
      <c r="I642" s="6" t="n">
        <v>-828.2</v>
      </c>
      <c r="J642" s="6" t="n">
        <v>-29.98</v>
      </c>
      <c r="K642" s="6" t="n">
        <v>-2.48</v>
      </c>
      <c r="L642" s="6" t="n">
        <v>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21" t="n">
        <v>45541.705011574</v>
      </c>
      <c r="B643" s="22" t="s">
        <v>1073</v>
      </c>
      <c r="C643" s="22" t="s">
        <v>1205</v>
      </c>
      <c r="D643" s="22" t="s">
        <v>1073</v>
      </c>
      <c r="E643" s="22" t="s">
        <v>1073</v>
      </c>
      <c r="F643" s="22" t="s">
        <v>19</v>
      </c>
      <c r="G643" s="23" t="n">
        <v>1</v>
      </c>
      <c r="H643" s="24" t="n">
        <v>1</v>
      </c>
      <c r="I643" s="24" t="n">
        <v>67</v>
      </c>
      <c r="J643" s="24" t="n">
        <v>0</v>
      </c>
      <c r="K643" s="24" t="n">
        <v>0</v>
      </c>
      <c r="L643" s="24" t="n">
        <v>0</v>
      </c>
      <c r="M643" s="6" t="s">
        <f>=I643+J643+K643+L643</f>
      </c>
      <c r="N643" s="24"/>
      <c r="O643" s="22"/>
    </row>
    <row collapsed="false" customFormat="false" customHeight="false" hidden="false" ht="12.1" outlineLevel="0" r="644">
      <c r="A644" s="21" t="n">
        <v>45541.70619213</v>
      </c>
      <c r="B644" s="22" t="s">
        <v>1063</v>
      </c>
      <c r="C644" s="22" t="s">
        <v>1206</v>
      </c>
      <c r="D644" s="22" t="s">
        <v>1063</v>
      </c>
      <c r="E644" s="22" t="s">
        <v>1063</v>
      </c>
      <c r="F644" s="22" t="s">
        <v>19</v>
      </c>
      <c r="G644" s="23" t="n">
        <v>1</v>
      </c>
      <c r="H644" s="24" t="n">
        <v>1</v>
      </c>
      <c r="I644" s="24" t="n">
        <v>11.45</v>
      </c>
      <c r="J644" s="24" t="n">
        <v>0</v>
      </c>
      <c r="K644" s="24" t="n">
        <v>0</v>
      </c>
      <c r="L644" s="24" t="n">
        <v>0</v>
      </c>
      <c r="M644" s="6" t="s">
        <f>=I644+J644+K644+L644</f>
      </c>
      <c r="N644" s="24"/>
      <c r="O644" s="22"/>
    </row>
    <row collapsed="false" customFormat="false" customHeight="false" hidden="false" ht="12.1" outlineLevel="0" r="645">
      <c r="A645" s="21" t="n">
        <v>45553.533125</v>
      </c>
      <c r="B645" s="22" t="s">
        <v>1063</v>
      </c>
      <c r="C645" s="22" t="s">
        <v>1126</v>
      </c>
      <c r="D645" s="22" t="s">
        <v>1063</v>
      </c>
      <c r="E645" s="22" t="s">
        <v>1063</v>
      </c>
      <c r="F645" s="22" t="s">
        <v>19</v>
      </c>
      <c r="G645" s="23" t="n">
        <v>1</v>
      </c>
      <c r="H645" s="24" t="n">
        <v>1</v>
      </c>
      <c r="I645" s="24" t="n">
        <v>39.39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4"/>
      <c r="O645" s="22"/>
    </row>
    <row collapsed="false" customFormat="false" customHeight="false" hidden="false" ht="12.1" outlineLevel="0" r="646">
      <c r="A646" s="21" t="n">
        <v>45554.491759259</v>
      </c>
      <c r="B646" s="22" t="s">
        <v>1063</v>
      </c>
      <c r="C646" s="22" t="s">
        <v>1085</v>
      </c>
      <c r="D646" s="22" t="s">
        <v>1063</v>
      </c>
      <c r="E646" s="22" t="s">
        <v>1063</v>
      </c>
      <c r="F646" s="22" t="s">
        <v>19</v>
      </c>
      <c r="G646" s="23" t="n">
        <v>1</v>
      </c>
      <c r="H646" s="24" t="n">
        <v>1</v>
      </c>
      <c r="I646" s="24" t="n">
        <v>323.62</v>
      </c>
      <c r="J646" s="24" t="n">
        <v>0</v>
      </c>
      <c r="K646" s="24" t="n">
        <v>0</v>
      </c>
      <c r="L646" s="24" t="n">
        <v>0</v>
      </c>
      <c r="M646" s="6" t="s">
        <f>=I646+J646+K646+L646</f>
      </c>
      <c r="N646" s="24"/>
      <c r="O646" s="22"/>
    </row>
    <row collapsed="false" customFormat="false" customHeight="false" hidden="false" ht="12.1" outlineLevel="0" r="647">
      <c r="A647" s="21" t="n">
        <v>45559.501134259</v>
      </c>
      <c r="B647" s="22" t="s">
        <v>1063</v>
      </c>
      <c r="C647" s="22" t="s">
        <v>1207</v>
      </c>
      <c r="D647" s="22" t="s">
        <v>1063</v>
      </c>
      <c r="E647" s="22" t="s">
        <v>1063</v>
      </c>
      <c r="F647" s="22" t="s">
        <v>19</v>
      </c>
      <c r="G647" s="23" t="n">
        <v>1</v>
      </c>
      <c r="H647" s="24" t="n">
        <v>1</v>
      </c>
      <c r="I647" s="24" t="n">
        <v>15.3</v>
      </c>
      <c r="J647" s="24" t="n">
        <v>0</v>
      </c>
      <c r="K647" s="24" t="n">
        <v>0</v>
      </c>
      <c r="L647" s="24" t="n">
        <v>0</v>
      </c>
      <c r="M647" s="6" t="s">
        <f>=I647+J647+K647+L647</f>
      </c>
      <c r="N647" s="24"/>
      <c r="O647" s="22"/>
    </row>
    <row collapsed="false" customFormat="false" customHeight="false" hidden="false" ht="12.1" outlineLevel="0" r="648">
      <c r="A648" s="21" t="n">
        <v>45560.375208333</v>
      </c>
      <c r="B648" s="22" t="s">
        <v>1063</v>
      </c>
      <c r="C648" s="22" t="s">
        <v>1176</v>
      </c>
      <c r="D648" s="22" t="s">
        <v>1063</v>
      </c>
      <c r="E648" s="22" t="s">
        <v>1063</v>
      </c>
      <c r="F648" s="22" t="s">
        <v>19</v>
      </c>
      <c r="G648" s="23" t="n">
        <v>1</v>
      </c>
      <c r="H648" s="24" t="n">
        <v>1</v>
      </c>
      <c r="I648" s="24" t="n">
        <v>11.78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4"/>
      <c r="O648" s="22"/>
    </row>
    <row collapsed="false" customFormat="false" customHeight="false" hidden="false" ht="12.1" outlineLevel="0" r="649">
      <c r="A649" s="21" t="n">
        <v>45560.377083333</v>
      </c>
      <c r="B649" s="22" t="s">
        <v>1073</v>
      </c>
      <c r="C649" s="22" t="s">
        <v>1175</v>
      </c>
      <c r="D649" s="22" t="s">
        <v>1073</v>
      </c>
      <c r="E649" s="22" t="s">
        <v>1073</v>
      </c>
      <c r="F649" s="22" t="s">
        <v>19</v>
      </c>
      <c r="G649" s="23" t="n">
        <v>1</v>
      </c>
      <c r="H649" s="24" t="n">
        <v>1</v>
      </c>
      <c r="I649" s="24" t="n">
        <v>150</v>
      </c>
      <c r="J649" s="24" t="n">
        <v>0</v>
      </c>
      <c r="K649" s="24" t="n">
        <v>0</v>
      </c>
      <c r="L649" s="24" t="n">
        <v>0</v>
      </c>
      <c r="M649" s="6" t="s">
        <f>=I649+J649+K649+L649</f>
      </c>
      <c r="N649" s="24"/>
      <c r="O649" s="22"/>
    </row>
    <row collapsed="false" customFormat="false" customHeight="false" hidden="false" ht="12.1" outlineLevel="0" r="650">
      <c r="A650" s="21" t="n">
        <v>45561.364664352</v>
      </c>
      <c r="B650" s="22" t="s">
        <v>1063</v>
      </c>
      <c r="C650" s="22" t="s">
        <v>1128</v>
      </c>
      <c r="D650" s="22" t="s">
        <v>1063</v>
      </c>
      <c r="E650" s="22" t="s">
        <v>1063</v>
      </c>
      <c r="F650" s="22" t="s">
        <v>19</v>
      </c>
      <c r="G650" s="23" t="n">
        <v>1</v>
      </c>
      <c r="H650" s="24" t="n">
        <v>1</v>
      </c>
      <c r="I650" s="24" t="n">
        <v>65.04</v>
      </c>
      <c r="J650" s="24" t="n">
        <v>0</v>
      </c>
      <c r="K650" s="24" t="n">
        <v>0</v>
      </c>
      <c r="L650" s="24" t="n">
        <v>0</v>
      </c>
      <c r="M650" s="6" t="s">
        <f>=I650+J650+K650+L650</f>
      </c>
      <c r="N650" s="24"/>
      <c r="O650" s="22"/>
    </row>
    <row collapsed="false" customFormat="false" customHeight="false" hidden="false" ht="12.1" outlineLevel="0" r="651">
      <c r="A651" s="21" t="n">
        <v>45561.414837963</v>
      </c>
      <c r="B651" s="22" t="s">
        <v>1063</v>
      </c>
      <c r="C651" s="22" t="s">
        <v>1209</v>
      </c>
      <c r="D651" s="22" t="s">
        <v>1063</v>
      </c>
      <c r="E651" s="22" t="s">
        <v>1063</v>
      </c>
      <c r="F651" s="22" t="s">
        <v>19</v>
      </c>
      <c r="G651" s="23" t="n">
        <v>1</v>
      </c>
      <c r="H651" s="24" t="n">
        <v>1</v>
      </c>
      <c r="I651" s="24" t="n">
        <v>211.9</v>
      </c>
      <c r="J651" s="24" t="n">
        <v>0</v>
      </c>
      <c r="K651" s="24" t="n">
        <v>0</v>
      </c>
      <c r="L651" s="24" t="n">
        <v>0</v>
      </c>
      <c r="M651" s="6" t="s">
        <f>=I651+J651+K651+L651</f>
      </c>
      <c r="N651" s="24"/>
      <c r="O651" s="22"/>
    </row>
    <row collapsed="false" customFormat="false" customHeight="false" hidden="false" ht="12.1" outlineLevel="0" r="652">
      <c r="A652" s="21" t="n">
        <v>45561.438402778</v>
      </c>
      <c r="B652" s="22" t="s">
        <v>1063</v>
      </c>
      <c r="C652" s="22" t="s">
        <v>1208</v>
      </c>
      <c r="D652" s="22" t="s">
        <v>1063</v>
      </c>
      <c r="E652" s="22" t="s">
        <v>1063</v>
      </c>
      <c r="F652" s="22" t="s">
        <v>19</v>
      </c>
      <c r="G652" s="23" t="n">
        <v>1</v>
      </c>
      <c r="H652" s="24" t="n">
        <v>1</v>
      </c>
      <c r="I652" s="24" t="n">
        <v>392.7</v>
      </c>
      <c r="J652" s="24" t="n">
        <v>0</v>
      </c>
      <c r="K652" s="24" t="n">
        <v>0</v>
      </c>
      <c r="L652" s="24" t="n">
        <v>0</v>
      </c>
      <c r="M652" s="6" t="s">
        <f>=I652+J652+K652+L652</f>
      </c>
      <c r="N652" s="24"/>
      <c r="O652" s="22"/>
    </row>
    <row collapsed="false" customFormat="false" customHeight="false" hidden="false" ht="12.1" outlineLevel="0" r="653">
      <c r="A653" s="21" t="n">
        <v>45561.69099537</v>
      </c>
      <c r="B653" s="22" t="s">
        <v>1063</v>
      </c>
      <c r="C653" s="22" t="s">
        <v>1251</v>
      </c>
      <c r="D653" s="22" t="s">
        <v>1063</v>
      </c>
      <c r="E653" s="22" t="s">
        <v>1063</v>
      </c>
      <c r="F653" s="22" t="s">
        <v>19</v>
      </c>
      <c r="G653" s="23" t="n">
        <v>1</v>
      </c>
      <c r="H653" s="24" t="n">
        <v>1</v>
      </c>
      <c r="I653" s="24" t="n">
        <v>11.18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4"/>
      <c r="O653" s="22"/>
    </row>
    <row collapsed="false" customFormat="false" customHeight="false" hidden="false" ht="12.1" outlineLevel="0" r="654">
      <c r="A654" s="21" t="n">
        <v>45562.674224537</v>
      </c>
      <c r="B654" s="22" t="s">
        <v>1063</v>
      </c>
      <c r="C654" s="22" t="s">
        <v>1174</v>
      </c>
      <c r="D654" s="22" t="s">
        <v>1063</v>
      </c>
      <c r="E654" s="22" t="s">
        <v>1063</v>
      </c>
      <c r="F654" s="22" t="s">
        <v>19</v>
      </c>
      <c r="G654" s="23" t="n">
        <v>1</v>
      </c>
      <c r="H654" s="24" t="n">
        <v>1</v>
      </c>
      <c r="I654" s="24" t="n">
        <v>31.22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4"/>
      <c r="O654" s="22"/>
    </row>
    <row collapsed="false" customFormat="false" customHeight="false" hidden="false" ht="12.1" outlineLevel="0" r="655">
      <c r="A655" s="21" t="n">
        <v>45565.518298611</v>
      </c>
      <c r="B655" s="22" t="s">
        <v>1063</v>
      </c>
      <c r="C655" s="22" t="s">
        <v>1235</v>
      </c>
      <c r="D655" s="22" t="s">
        <v>1063</v>
      </c>
      <c r="E655" s="22" t="s">
        <v>1063</v>
      </c>
      <c r="F655" s="22" t="s">
        <v>19</v>
      </c>
      <c r="G655" s="23" t="n">
        <v>1</v>
      </c>
      <c r="H655" s="24" t="n">
        <v>1</v>
      </c>
      <c r="I655" s="24" t="n">
        <v>31.4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4"/>
      <c r="O655" s="22"/>
    </row>
    <row collapsed="false" customFormat="false" customHeight="false" hidden="false" ht="12.1" outlineLevel="0" r="656">
      <c r="A656" s="21" t="n">
        <v>45566.443460648</v>
      </c>
      <c r="B656" s="22" t="s">
        <v>1056</v>
      </c>
      <c r="C656" s="22" t="s">
        <v>350</v>
      </c>
      <c r="D656" s="22" t="s">
        <v>1056</v>
      </c>
      <c r="E656" s="22" t="s">
        <v>1056</v>
      </c>
      <c r="F656" s="22" t="s">
        <v>19</v>
      </c>
      <c r="G656" s="23" t="n">
        <v>1</v>
      </c>
      <c r="H656" s="24" t="n">
        <v>1</v>
      </c>
      <c r="I656" s="24" t="n">
        <v>11000</v>
      </c>
      <c r="J656" s="24" t="n">
        <v>0</v>
      </c>
      <c r="K656" s="24" t="n">
        <v>0</v>
      </c>
      <c r="L656" s="24" t="n">
        <v>0</v>
      </c>
      <c r="M656" s="6" t="s">
        <f>=I656+J656+K656+L656</f>
      </c>
      <c r="N656" s="24"/>
      <c r="O656" s="22"/>
    </row>
    <row collapsed="false" customFormat="false" customHeight="false" hidden="false" ht="12.1" outlineLevel="0" r="657">
      <c r="A657" s="20" t="n">
        <v>45566.619641204</v>
      </c>
      <c r="B657" s="16" t="s">
        <v>124</v>
      </c>
      <c r="C657" s="16" t="s">
        <v>1136</v>
      </c>
      <c r="D657" s="16" t="s">
        <v>912</v>
      </c>
      <c r="E657" s="16" t="s">
        <v>85</v>
      </c>
      <c r="F657" s="16" t="s">
        <v>19</v>
      </c>
      <c r="G657" s="7" t="n">
        <v>1</v>
      </c>
      <c r="H657" s="6" t="n">
        <v>67.953</v>
      </c>
      <c r="I657" s="6" t="n">
        <v>-679.53</v>
      </c>
      <c r="J657" s="6" t="n">
        <v>-35.22</v>
      </c>
      <c r="K657" s="6" t="n">
        <v>-2.04</v>
      </c>
      <c r="L657" s="6" t="n">
        <v>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0" t="n">
        <v>45566.620300926</v>
      </c>
      <c r="B658" s="16" t="s">
        <v>133</v>
      </c>
      <c r="C658" s="16" t="s">
        <v>1199</v>
      </c>
      <c r="D658" s="16" t="s">
        <v>912</v>
      </c>
      <c r="E658" s="16" t="s">
        <v>85</v>
      </c>
      <c r="F658" s="16" t="s">
        <v>19</v>
      </c>
      <c r="G658" s="7" t="n">
        <v>1</v>
      </c>
      <c r="H658" s="6" t="n">
        <v>67.848</v>
      </c>
      <c r="I658" s="6" t="n">
        <v>-678.48</v>
      </c>
      <c r="J658" s="6" t="n">
        <v>-1.63</v>
      </c>
      <c r="K658" s="6" t="n">
        <v>-2.04</v>
      </c>
      <c r="L658" s="6" t="n">
        <v>0</v>
      </c>
      <c r="M658" s="6" t="s">
        <f>=I658+J658+K658+L658</f>
      </c>
      <c r="N658" s="6"/>
      <c r="O658" s="16"/>
    </row>
    <row collapsed="false" customFormat="false" customHeight="false" hidden="false" ht="12.1" outlineLevel="0" r="659">
      <c r="A659" s="20" t="n">
        <v>45566.620856481</v>
      </c>
      <c r="B659" s="16" t="s">
        <v>103</v>
      </c>
      <c r="C659" s="16" t="s">
        <v>1061</v>
      </c>
      <c r="D659" s="16" t="s">
        <v>912</v>
      </c>
      <c r="E659" s="16" t="s">
        <v>85</v>
      </c>
      <c r="F659" s="16" t="s">
        <v>19</v>
      </c>
      <c r="G659" s="7" t="n">
        <v>1</v>
      </c>
      <c r="H659" s="6" t="n">
        <v>59.095</v>
      </c>
      <c r="I659" s="6" t="n">
        <v>-590.95</v>
      </c>
      <c r="J659" s="6" t="n">
        <v>-2.26</v>
      </c>
      <c r="K659" s="6" t="n">
        <v>-1.77</v>
      </c>
      <c r="L659" s="6" t="n">
        <v>0</v>
      </c>
      <c r="M659" s="6" t="s">
        <f>=I659+J659+K659+L659</f>
      </c>
      <c r="N659" s="6"/>
      <c r="O659" s="16"/>
    </row>
    <row collapsed="false" customFormat="false" customHeight="false" hidden="false" ht="12.1" outlineLevel="0" r="660">
      <c r="A660" s="20" t="n">
        <v>45566.62125</v>
      </c>
      <c r="B660" s="16" t="s">
        <v>88</v>
      </c>
      <c r="C660" s="16" t="s">
        <v>1069</v>
      </c>
      <c r="D660" s="16" t="s">
        <v>912</v>
      </c>
      <c r="E660" s="16" t="s">
        <v>85</v>
      </c>
      <c r="F660" s="16" t="s">
        <v>19</v>
      </c>
      <c r="G660" s="7" t="n">
        <v>1</v>
      </c>
      <c r="H660" s="6" t="n">
        <v>104.484</v>
      </c>
      <c r="I660" s="6" t="n">
        <v>-1044.84</v>
      </c>
      <c r="J660" s="6" t="n">
        <v>-49.79</v>
      </c>
      <c r="K660" s="6" t="n">
        <v>-3.13</v>
      </c>
      <c r="L660" s="6" t="n">
        <v>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45566.621574074</v>
      </c>
      <c r="B661" s="16" t="s">
        <v>154</v>
      </c>
      <c r="C661" s="16" t="s">
        <v>1217</v>
      </c>
      <c r="D661" s="16" t="s">
        <v>912</v>
      </c>
      <c r="E661" s="16" t="s">
        <v>85</v>
      </c>
      <c r="F661" s="16" t="s">
        <v>19</v>
      </c>
      <c r="G661" s="7" t="n">
        <v>1</v>
      </c>
      <c r="H661" s="6" t="n">
        <v>61.995</v>
      </c>
      <c r="I661" s="6" t="n">
        <v>-619.95</v>
      </c>
      <c r="J661" s="6" t="n">
        <v>-11.91</v>
      </c>
      <c r="K661" s="6" t="n">
        <v>-1.86</v>
      </c>
      <c r="L661" s="6" t="n">
        <v>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0" t="n">
        <v>45566.621944444</v>
      </c>
      <c r="B662" s="16" t="s">
        <v>118</v>
      </c>
      <c r="C662" s="16" t="s">
        <v>1192</v>
      </c>
      <c r="D662" s="16" t="s">
        <v>912</v>
      </c>
      <c r="E662" s="16" t="s">
        <v>85</v>
      </c>
      <c r="F662" s="16" t="s">
        <v>19</v>
      </c>
      <c r="G662" s="7" t="n">
        <v>1</v>
      </c>
      <c r="H662" s="6" t="n">
        <v>69.699</v>
      </c>
      <c r="I662" s="6" t="n">
        <v>-696.99</v>
      </c>
      <c r="J662" s="6" t="n">
        <v>-32.79</v>
      </c>
      <c r="K662" s="6" t="n">
        <v>-2.09</v>
      </c>
      <c r="L662" s="6" t="n">
        <v>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0" t="n">
        <v>45566.622233796</v>
      </c>
      <c r="B663" s="16" t="s">
        <v>109</v>
      </c>
      <c r="C663" s="16" t="s">
        <v>1067</v>
      </c>
      <c r="D663" s="16" t="s">
        <v>912</v>
      </c>
      <c r="E663" s="16" t="s">
        <v>85</v>
      </c>
      <c r="F663" s="16" t="s">
        <v>19</v>
      </c>
      <c r="G663" s="7" t="n">
        <v>1</v>
      </c>
      <c r="H663" s="6" t="n">
        <v>103.349</v>
      </c>
      <c r="I663" s="6" t="n">
        <v>-1033.49</v>
      </c>
      <c r="J663" s="6" t="n">
        <v>-65.36</v>
      </c>
      <c r="K663" s="6" t="n">
        <v>-3.1</v>
      </c>
      <c r="L663" s="6" t="n">
        <v>0</v>
      </c>
      <c r="M663" s="6" t="s">
        <f>=I663+J663+K663+L663</f>
      </c>
      <c r="N663" s="6"/>
      <c r="O663" s="16"/>
    </row>
    <row collapsed="false" customFormat="false" customHeight="false" hidden="false" ht="12.1" outlineLevel="0" r="664">
      <c r="A664" s="20" t="n">
        <v>45566.622847222</v>
      </c>
      <c r="B664" s="16" t="s">
        <v>115</v>
      </c>
      <c r="C664" s="16" t="s">
        <v>1252</v>
      </c>
      <c r="D664" s="16" t="s">
        <v>912</v>
      </c>
      <c r="E664" s="16" t="s">
        <v>85</v>
      </c>
      <c r="F664" s="16" t="s">
        <v>19</v>
      </c>
      <c r="G664" s="7" t="n">
        <v>1</v>
      </c>
      <c r="H664" s="6" t="n">
        <v>78.73</v>
      </c>
      <c r="I664" s="6" t="n">
        <v>-787.3</v>
      </c>
      <c r="J664" s="6" t="n">
        <v>-46.99</v>
      </c>
      <c r="K664" s="6" t="n">
        <v>-2.36</v>
      </c>
      <c r="L664" s="6" t="n">
        <v>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20" t="n">
        <v>45566.623206019</v>
      </c>
      <c r="B665" s="16" t="s">
        <v>100</v>
      </c>
      <c r="C665" s="16" t="s">
        <v>1253</v>
      </c>
      <c r="D665" s="16" t="s">
        <v>912</v>
      </c>
      <c r="E665" s="16" t="s">
        <v>85</v>
      </c>
      <c r="F665" s="16" t="s">
        <v>19</v>
      </c>
      <c r="G665" s="7" t="n">
        <v>1</v>
      </c>
      <c r="H665" s="6" t="n">
        <v>78.55</v>
      </c>
      <c r="I665" s="6" t="n">
        <v>-785.5</v>
      </c>
      <c r="J665" s="6" t="n">
        <v>-46.99</v>
      </c>
      <c r="K665" s="6" t="n">
        <v>-2.36</v>
      </c>
      <c r="L665" s="6" t="n">
        <v>0</v>
      </c>
      <c r="M665" s="6" t="s">
        <f>=I665+J665+K665+L665</f>
      </c>
      <c r="N665" s="6"/>
      <c r="O665" s="16"/>
    </row>
    <row collapsed="false" customFormat="false" customHeight="false" hidden="false" ht="12.1" outlineLevel="0" r="666">
      <c r="A666" s="20" t="n">
        <v>45566.624166667</v>
      </c>
      <c r="B666" s="16" t="s">
        <v>127</v>
      </c>
      <c r="C666" s="16" t="s">
        <v>1099</v>
      </c>
      <c r="D666" s="16" t="s">
        <v>912</v>
      </c>
      <c r="E666" s="16" t="s">
        <v>85</v>
      </c>
      <c r="F666" s="16" t="s">
        <v>19</v>
      </c>
      <c r="G666" s="7" t="n">
        <v>1</v>
      </c>
      <c r="H666" s="6" t="n">
        <v>62.319</v>
      </c>
      <c r="I666" s="6" t="n">
        <v>-623.19</v>
      </c>
      <c r="J666" s="6" t="n">
        <v>0</v>
      </c>
      <c r="K666" s="6" t="n">
        <v>-1.87</v>
      </c>
      <c r="L666" s="6" t="n">
        <v>0</v>
      </c>
      <c r="M666" s="6" t="s">
        <f>=I666+J666+K666+L666</f>
      </c>
      <c r="N666" s="6"/>
      <c r="O666" s="16"/>
    </row>
    <row collapsed="false" customFormat="false" customHeight="false" hidden="false" ht="12.1" outlineLevel="0" r="667">
      <c r="A667" s="20" t="n">
        <v>45566.624918981</v>
      </c>
      <c r="B667" s="16" t="s">
        <v>124</v>
      </c>
      <c r="C667" s="16" t="s">
        <v>1136</v>
      </c>
      <c r="D667" s="16" t="s">
        <v>912</v>
      </c>
      <c r="E667" s="16" t="s">
        <v>85</v>
      </c>
      <c r="F667" s="16" t="s">
        <v>19</v>
      </c>
      <c r="G667" s="7" t="n">
        <v>1</v>
      </c>
      <c r="H667" s="6" t="n">
        <v>68.04</v>
      </c>
      <c r="I667" s="6" t="n">
        <v>-680.4</v>
      </c>
      <c r="J667" s="6" t="n">
        <v>-35.22</v>
      </c>
      <c r="K667" s="6" t="n">
        <v>-2.04</v>
      </c>
      <c r="L667" s="6" t="n">
        <v>0</v>
      </c>
      <c r="M667" s="6" t="s">
        <f>=I667+J667+K667+L667</f>
      </c>
      <c r="N667" s="6"/>
      <c r="O667" s="16"/>
    </row>
    <row collapsed="false" customFormat="false" customHeight="false" hidden="false" ht="12.1" outlineLevel="0" r="668">
      <c r="A668" s="20" t="n">
        <v>45566.625324074</v>
      </c>
      <c r="B668" s="16" t="s">
        <v>133</v>
      </c>
      <c r="C668" s="16" t="s">
        <v>1199</v>
      </c>
      <c r="D668" s="16" t="s">
        <v>912</v>
      </c>
      <c r="E668" s="16" t="s">
        <v>85</v>
      </c>
      <c r="F668" s="16" t="s">
        <v>19</v>
      </c>
      <c r="G668" s="7" t="n">
        <v>1</v>
      </c>
      <c r="H668" s="6" t="n">
        <v>67.813</v>
      </c>
      <c r="I668" s="6" t="n">
        <v>-678.13</v>
      </c>
      <c r="J668" s="6" t="n">
        <v>-1.63</v>
      </c>
      <c r="K668" s="6" t="n">
        <v>-2.03</v>
      </c>
      <c r="L668" s="6" t="n">
        <v>0</v>
      </c>
      <c r="M668" s="6" t="s">
        <f>=I668+J668+K668+L668</f>
      </c>
      <c r="N668" s="6"/>
      <c r="O668" s="16"/>
    </row>
    <row collapsed="false" customFormat="false" customHeight="false" hidden="false" ht="12.1" outlineLevel="0" r="669">
      <c r="A669" s="20" t="n">
        <v>45566.628993056</v>
      </c>
      <c r="B669" s="16" t="s">
        <v>103</v>
      </c>
      <c r="C669" s="16" t="s">
        <v>1061</v>
      </c>
      <c r="D669" s="16" t="s">
        <v>912</v>
      </c>
      <c r="E669" s="16" t="s">
        <v>85</v>
      </c>
      <c r="F669" s="16" t="s">
        <v>19</v>
      </c>
      <c r="G669" s="7" t="n">
        <v>1</v>
      </c>
      <c r="H669" s="6" t="n">
        <v>59.073</v>
      </c>
      <c r="I669" s="6" t="n">
        <v>-590.73</v>
      </c>
      <c r="J669" s="6" t="n">
        <v>-2.26</v>
      </c>
      <c r="K669" s="6" t="n">
        <v>-1.77</v>
      </c>
      <c r="L669" s="6" t="n">
        <v>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45566.62931713</v>
      </c>
      <c r="B670" s="16" t="s">
        <v>88</v>
      </c>
      <c r="C670" s="16" t="s">
        <v>1069</v>
      </c>
      <c r="D670" s="16" t="s">
        <v>912</v>
      </c>
      <c r="E670" s="16" t="s">
        <v>85</v>
      </c>
      <c r="F670" s="16" t="s">
        <v>19</v>
      </c>
      <c r="G670" s="7" t="n">
        <v>1</v>
      </c>
      <c r="H670" s="6" t="n">
        <v>104.744</v>
      </c>
      <c r="I670" s="6" t="n">
        <v>-1047.44</v>
      </c>
      <c r="J670" s="6" t="n">
        <v>-49.79</v>
      </c>
      <c r="K670" s="6" t="n">
        <v>-3.14</v>
      </c>
      <c r="L670" s="6" t="n">
        <v>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45566.630150463</v>
      </c>
      <c r="B671" s="16" t="s">
        <v>154</v>
      </c>
      <c r="C671" s="16" t="s">
        <v>1217</v>
      </c>
      <c r="D671" s="16" t="s">
        <v>912</v>
      </c>
      <c r="E671" s="16" t="s">
        <v>85</v>
      </c>
      <c r="F671" s="16" t="s">
        <v>19</v>
      </c>
      <c r="G671" s="7" t="n">
        <v>1</v>
      </c>
      <c r="H671" s="6" t="n">
        <v>61.996</v>
      </c>
      <c r="I671" s="6" t="n">
        <v>-619.96</v>
      </c>
      <c r="J671" s="6" t="n">
        <v>-11.91</v>
      </c>
      <c r="K671" s="6" t="n">
        <v>-1.86</v>
      </c>
      <c r="L671" s="6" t="n">
        <v>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45566.630810185</v>
      </c>
      <c r="B672" s="16" t="s">
        <v>118</v>
      </c>
      <c r="C672" s="16" t="s">
        <v>1192</v>
      </c>
      <c r="D672" s="16" t="s">
        <v>912</v>
      </c>
      <c r="E672" s="16" t="s">
        <v>85</v>
      </c>
      <c r="F672" s="16" t="s">
        <v>19</v>
      </c>
      <c r="G672" s="7" t="n">
        <v>1</v>
      </c>
      <c r="H672" s="6" t="n">
        <v>69.749</v>
      </c>
      <c r="I672" s="6" t="n">
        <v>-697.49</v>
      </c>
      <c r="J672" s="6" t="n">
        <v>-32.79</v>
      </c>
      <c r="K672" s="6" t="n">
        <v>-2.09</v>
      </c>
      <c r="L672" s="6" t="n">
        <v>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21" t="n">
        <v>45568.440694444</v>
      </c>
      <c r="B673" s="22" t="s">
        <v>1063</v>
      </c>
      <c r="C673" s="22" t="s">
        <v>1130</v>
      </c>
      <c r="D673" s="22" t="s">
        <v>1063</v>
      </c>
      <c r="E673" s="22" t="s">
        <v>1063</v>
      </c>
      <c r="F673" s="22" t="s">
        <v>19</v>
      </c>
      <c r="G673" s="23" t="n">
        <v>1</v>
      </c>
      <c r="H673" s="24" t="n">
        <v>1</v>
      </c>
      <c r="I673" s="24" t="n">
        <v>614.24</v>
      </c>
      <c r="J673" s="24" t="n">
        <v>0</v>
      </c>
      <c r="K673" s="24" t="n">
        <v>0</v>
      </c>
      <c r="L673" s="24" t="n">
        <v>0</v>
      </c>
      <c r="M673" s="6" t="s">
        <f>=I673+J673+K673+L673</f>
      </c>
      <c r="N673" s="24"/>
      <c r="O673" s="22"/>
    </row>
    <row collapsed="false" customFormat="false" customHeight="false" hidden="false" ht="12.1" outlineLevel="0" r="674">
      <c r="A674" s="21" t="n">
        <v>45568.474201389</v>
      </c>
      <c r="B674" s="22" t="s">
        <v>1063</v>
      </c>
      <c r="C674" s="22" t="s">
        <v>1129</v>
      </c>
      <c r="D674" s="22" t="s">
        <v>1063</v>
      </c>
      <c r="E674" s="22" t="s">
        <v>1063</v>
      </c>
      <c r="F674" s="22" t="s">
        <v>19</v>
      </c>
      <c r="G674" s="23" t="n">
        <v>1</v>
      </c>
      <c r="H674" s="24" t="n">
        <v>1</v>
      </c>
      <c r="I674" s="24" t="n">
        <v>230.34</v>
      </c>
      <c r="J674" s="24" t="n">
        <v>0</v>
      </c>
      <c r="K674" s="24" t="n">
        <v>0</v>
      </c>
      <c r="L674" s="24" t="n">
        <v>0</v>
      </c>
      <c r="M674" s="6" t="s">
        <f>=I674+J674+K674+L674</f>
      </c>
      <c r="N674" s="24"/>
      <c r="O674" s="22"/>
    </row>
    <row collapsed="false" customFormat="false" customHeight="false" hidden="false" ht="12.1" outlineLevel="0" r="675">
      <c r="A675" s="21" t="n">
        <v>45569.642337963</v>
      </c>
      <c r="B675" s="22" t="s">
        <v>1063</v>
      </c>
      <c r="C675" s="22" t="s">
        <v>1072</v>
      </c>
      <c r="D675" s="22" t="s">
        <v>1063</v>
      </c>
      <c r="E675" s="22" t="s">
        <v>1063</v>
      </c>
      <c r="F675" s="22" t="s">
        <v>19</v>
      </c>
      <c r="G675" s="23" t="n">
        <v>1</v>
      </c>
      <c r="H675" s="24" t="n">
        <v>1</v>
      </c>
      <c r="I675" s="24" t="n">
        <v>6.98</v>
      </c>
      <c r="J675" s="24" t="n">
        <v>0</v>
      </c>
      <c r="K675" s="24" t="n">
        <v>0</v>
      </c>
      <c r="L675" s="24" t="n">
        <v>0</v>
      </c>
      <c r="M675" s="6" t="s">
        <f>=I675+J675+K675+L675</f>
      </c>
      <c r="N675" s="24"/>
      <c r="O675" s="22"/>
    </row>
    <row collapsed="false" customFormat="false" customHeight="false" hidden="false" ht="12.1" outlineLevel="0" r="676">
      <c r="A676" s="21" t="n">
        <v>45575.566296296</v>
      </c>
      <c r="B676" s="22" t="s">
        <v>1063</v>
      </c>
      <c r="C676" s="22" t="s">
        <v>1133</v>
      </c>
      <c r="D676" s="22" t="s">
        <v>1063</v>
      </c>
      <c r="E676" s="22" t="s">
        <v>1063</v>
      </c>
      <c r="F676" s="22" t="s">
        <v>19</v>
      </c>
      <c r="G676" s="23" t="n">
        <v>1</v>
      </c>
      <c r="H676" s="24" t="n">
        <v>1</v>
      </c>
      <c r="I676" s="24" t="n">
        <v>411.1</v>
      </c>
      <c r="J676" s="24" t="n">
        <v>0</v>
      </c>
      <c r="K676" s="24" t="n">
        <v>0</v>
      </c>
      <c r="L676" s="24" t="n">
        <v>0</v>
      </c>
      <c r="M676" s="6" t="s">
        <f>=I676+J676+K676+L676</f>
      </c>
      <c r="N676" s="24"/>
      <c r="O676" s="22"/>
    </row>
    <row collapsed="false" customFormat="false" customHeight="false" hidden="false" ht="12.1" outlineLevel="0" r="677">
      <c r="A677" s="21" t="n">
        <v>45579.629525463</v>
      </c>
      <c r="B677" s="22" t="s">
        <v>1063</v>
      </c>
      <c r="C677" s="22" t="s">
        <v>1254</v>
      </c>
      <c r="D677" s="22" t="s">
        <v>1063</v>
      </c>
      <c r="E677" s="22" t="s">
        <v>1063</v>
      </c>
      <c r="F677" s="22" t="s">
        <v>19</v>
      </c>
      <c r="G677" s="23" t="n">
        <v>1</v>
      </c>
      <c r="H677" s="24" t="n">
        <v>1</v>
      </c>
      <c r="I677" s="24" t="n">
        <v>242.4</v>
      </c>
      <c r="J677" s="24" t="n">
        <v>0</v>
      </c>
      <c r="K677" s="24" t="n">
        <v>0</v>
      </c>
      <c r="L677" s="24" t="n">
        <v>0</v>
      </c>
      <c r="M677" s="6" t="s">
        <f>=I677+J677+K677+L677</f>
      </c>
      <c r="N677" s="24"/>
      <c r="O677" s="22"/>
    </row>
    <row collapsed="false" customFormat="false" customHeight="false" hidden="false" ht="12.1" outlineLevel="0" r="678">
      <c r="A678" s="25" t="n">
        <v>45579.629525463</v>
      </c>
      <c r="B678" s="26" t="s">
        <v>1089</v>
      </c>
      <c r="C678" s="26" t="s">
        <v>1255</v>
      </c>
      <c r="D678" s="26" t="s">
        <v>1089</v>
      </c>
      <c r="E678" s="26" t="s">
        <v>1089</v>
      </c>
      <c r="F678" s="26" t="s">
        <v>19</v>
      </c>
      <c r="G678" s="27" t="n">
        <v>1</v>
      </c>
      <c r="H678" s="28" t="n">
        <v>-32</v>
      </c>
      <c r="I678" s="28" t="n">
        <v>-32</v>
      </c>
      <c r="J678" s="28" t="n">
        <v>0</v>
      </c>
      <c r="K678" s="28" t="n">
        <v>0</v>
      </c>
      <c r="L678" s="28" t="n">
        <v>0</v>
      </c>
      <c r="M678" s="6" t="s">
        <f>=I678+J678+K678+L678</f>
      </c>
      <c r="N678" s="28"/>
      <c r="O678" s="26"/>
    </row>
    <row collapsed="false" customFormat="false" customHeight="false" hidden="false" ht="12.1" outlineLevel="0" r="679">
      <c r="A679" s="21" t="n">
        <v>45582.51912037</v>
      </c>
      <c r="B679" s="22" t="s">
        <v>1063</v>
      </c>
      <c r="C679" s="22" t="s">
        <v>1178</v>
      </c>
      <c r="D679" s="22" t="s">
        <v>1063</v>
      </c>
      <c r="E679" s="22" t="s">
        <v>1063</v>
      </c>
      <c r="F679" s="22" t="s">
        <v>19</v>
      </c>
      <c r="G679" s="23" t="n">
        <v>1</v>
      </c>
      <c r="H679" s="24" t="n">
        <v>1</v>
      </c>
      <c r="I679" s="24" t="n">
        <v>381.5</v>
      </c>
      <c r="J679" s="24" t="n">
        <v>0</v>
      </c>
      <c r="K679" s="24" t="n">
        <v>0</v>
      </c>
      <c r="L679" s="24" t="n">
        <v>0</v>
      </c>
      <c r="M679" s="6" t="s">
        <f>=I679+J679+K679+L679</f>
      </c>
      <c r="N679" s="24"/>
      <c r="O679" s="22"/>
    </row>
    <row collapsed="false" customFormat="false" customHeight="false" hidden="false" ht="12.1" outlineLevel="0" r="680">
      <c r="A680" s="21" t="n">
        <v>45582.634652778</v>
      </c>
      <c r="B680" s="22" t="s">
        <v>1063</v>
      </c>
      <c r="C680" s="22" t="s">
        <v>1256</v>
      </c>
      <c r="D680" s="22" t="s">
        <v>1063</v>
      </c>
      <c r="E680" s="22" t="s">
        <v>1063</v>
      </c>
      <c r="F680" s="22" t="s">
        <v>19</v>
      </c>
      <c r="G680" s="23" t="n">
        <v>1</v>
      </c>
      <c r="H680" s="24" t="n">
        <v>1</v>
      </c>
      <c r="I680" s="24" t="n">
        <v>26.18</v>
      </c>
      <c r="J680" s="24" t="n">
        <v>0</v>
      </c>
      <c r="K680" s="24" t="n">
        <v>0</v>
      </c>
      <c r="L680" s="24" t="n">
        <v>0</v>
      </c>
      <c r="M680" s="6" t="s">
        <f>=I680+J680+K680+L680</f>
      </c>
      <c r="N680" s="24"/>
      <c r="O680" s="22"/>
    </row>
    <row collapsed="false" customFormat="false" customHeight="false" hidden="false" ht="12.1" outlineLevel="0" r="681">
      <c r="A681" s="21" t="n">
        <v>45588.462349537</v>
      </c>
      <c r="B681" s="22" t="s">
        <v>1063</v>
      </c>
      <c r="C681" s="22" t="s">
        <v>1195</v>
      </c>
      <c r="D681" s="22" t="s">
        <v>1063</v>
      </c>
      <c r="E681" s="22" t="s">
        <v>1063</v>
      </c>
      <c r="F681" s="22" t="s">
        <v>19</v>
      </c>
      <c r="G681" s="23" t="n">
        <v>1</v>
      </c>
      <c r="H681" s="24" t="n">
        <v>1</v>
      </c>
      <c r="I681" s="24" t="n">
        <v>34.28</v>
      </c>
      <c r="J681" s="24" t="n">
        <v>0</v>
      </c>
      <c r="K681" s="24" t="n">
        <v>0</v>
      </c>
      <c r="L681" s="24" t="n">
        <v>0</v>
      </c>
      <c r="M681" s="6" t="s">
        <f>=I681+J681+K681+L681</f>
      </c>
      <c r="N681" s="24"/>
      <c r="O681" s="22"/>
    </row>
    <row collapsed="false" customFormat="false" customHeight="false" hidden="false" ht="12.1" outlineLevel="0" r="682">
      <c r="A682" s="21" t="n">
        <v>45588.652719907</v>
      </c>
      <c r="B682" s="22" t="s">
        <v>1063</v>
      </c>
      <c r="C682" s="22" t="s">
        <v>1095</v>
      </c>
      <c r="D682" s="22" t="s">
        <v>1063</v>
      </c>
      <c r="E682" s="22" t="s">
        <v>1063</v>
      </c>
      <c r="F682" s="22" t="s">
        <v>19</v>
      </c>
      <c r="G682" s="23" t="n">
        <v>1</v>
      </c>
      <c r="H682" s="24" t="n">
        <v>1</v>
      </c>
      <c r="I682" s="24" t="n">
        <v>38.2</v>
      </c>
      <c r="J682" s="24" t="n">
        <v>0</v>
      </c>
      <c r="K682" s="24" t="n">
        <v>0</v>
      </c>
      <c r="L682" s="24" t="n">
        <v>0</v>
      </c>
      <c r="M682" s="6" t="s">
        <f>=I682+J682+K682+L682</f>
      </c>
      <c r="N682" s="24"/>
      <c r="O682" s="22"/>
    </row>
    <row collapsed="false" customFormat="false" customHeight="false" hidden="false" ht="12.1" outlineLevel="0" r="683">
      <c r="A683" s="25" t="n">
        <v>45588.652719907</v>
      </c>
      <c r="B683" s="26" t="s">
        <v>1089</v>
      </c>
      <c r="C683" s="26" t="s">
        <v>1094</v>
      </c>
      <c r="D683" s="26" t="s">
        <v>1089</v>
      </c>
      <c r="E683" s="26" t="s">
        <v>1089</v>
      </c>
      <c r="F683" s="26" t="s">
        <v>19</v>
      </c>
      <c r="G683" s="27" t="n">
        <v>1</v>
      </c>
      <c r="H683" s="28" t="n">
        <v>-5</v>
      </c>
      <c r="I683" s="28" t="n">
        <v>-5</v>
      </c>
      <c r="J683" s="28" t="n">
        <v>0</v>
      </c>
      <c r="K683" s="28" t="n">
        <v>0</v>
      </c>
      <c r="L683" s="28" t="n">
        <v>0</v>
      </c>
      <c r="M683" s="6" t="s">
        <f>=I683+J683+K683+L683</f>
      </c>
      <c r="N683" s="28"/>
      <c r="O683" s="26"/>
    </row>
    <row collapsed="false" customFormat="false" customHeight="false" hidden="false" ht="12.1" outlineLevel="0" r="684">
      <c r="A684" s="21" t="n">
        <v>45590.547407407</v>
      </c>
      <c r="B684" s="22" t="s">
        <v>1063</v>
      </c>
      <c r="C684" s="22" t="s">
        <v>1180</v>
      </c>
      <c r="D684" s="22" t="s">
        <v>1063</v>
      </c>
      <c r="E684" s="22" t="s">
        <v>1063</v>
      </c>
      <c r="F684" s="22" t="s">
        <v>19</v>
      </c>
      <c r="G684" s="23" t="n">
        <v>1</v>
      </c>
      <c r="H684" s="24" t="n">
        <v>1</v>
      </c>
      <c r="I684" s="24" t="n">
        <v>48.3</v>
      </c>
      <c r="J684" s="24" t="n">
        <v>0</v>
      </c>
      <c r="K684" s="24" t="n">
        <v>0</v>
      </c>
      <c r="L684" s="24" t="n">
        <v>0</v>
      </c>
      <c r="M684" s="6" t="s">
        <f>=I684+J684+K684+L684</f>
      </c>
      <c r="N684" s="24"/>
      <c r="O684" s="22"/>
    </row>
    <row collapsed="false" customFormat="false" customHeight="false" hidden="false" ht="12.1" outlineLevel="0" r="685">
      <c r="A685" s="21" t="n">
        <v>45593.616828704</v>
      </c>
      <c r="B685" s="22" t="s">
        <v>1063</v>
      </c>
      <c r="C685" s="22" t="s">
        <v>1207</v>
      </c>
      <c r="D685" s="22" t="s">
        <v>1063</v>
      </c>
      <c r="E685" s="22" t="s">
        <v>1063</v>
      </c>
      <c r="F685" s="22" t="s">
        <v>19</v>
      </c>
      <c r="G685" s="23" t="n">
        <v>1</v>
      </c>
      <c r="H685" s="24" t="n">
        <v>1</v>
      </c>
      <c r="I685" s="24" t="n">
        <v>16.6</v>
      </c>
      <c r="J685" s="24" t="n">
        <v>0</v>
      </c>
      <c r="K685" s="24" t="n">
        <v>0</v>
      </c>
      <c r="L685" s="24" t="n">
        <v>0</v>
      </c>
      <c r="M685" s="6" t="s">
        <f>=I685+J685+K685+L685</f>
      </c>
      <c r="N685" s="24"/>
      <c r="O685" s="22"/>
    </row>
    <row collapsed="false" customFormat="false" customHeight="false" hidden="false" ht="12.1" outlineLevel="0" r="686">
      <c r="A686" s="21" t="n">
        <v>45594.450590278</v>
      </c>
      <c r="B686" s="22" t="s">
        <v>1063</v>
      </c>
      <c r="C686" s="22" t="s">
        <v>1251</v>
      </c>
      <c r="D686" s="22" t="s">
        <v>1063</v>
      </c>
      <c r="E686" s="22" t="s">
        <v>1063</v>
      </c>
      <c r="F686" s="22" t="s">
        <v>19</v>
      </c>
      <c r="G686" s="23" t="n">
        <v>1</v>
      </c>
      <c r="H686" s="24" t="n">
        <v>1</v>
      </c>
      <c r="I686" s="24" t="n">
        <v>11.18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4"/>
      <c r="O686" s="22"/>
    </row>
    <row collapsed="false" customFormat="false" customHeight="false" hidden="false" ht="12.1" outlineLevel="0" r="687">
      <c r="A687" s="21" t="n">
        <v>45594.658043981</v>
      </c>
      <c r="B687" s="22" t="s">
        <v>1063</v>
      </c>
      <c r="C687" s="22" t="s">
        <v>1088</v>
      </c>
      <c r="D687" s="22" t="s">
        <v>1063</v>
      </c>
      <c r="E687" s="22" t="s">
        <v>1063</v>
      </c>
      <c r="F687" s="22" t="s">
        <v>19</v>
      </c>
      <c r="G687" s="23" t="n">
        <v>1</v>
      </c>
      <c r="H687" s="24" t="n">
        <v>1</v>
      </c>
      <c r="I687" s="24" t="n">
        <v>35.5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4"/>
      <c r="O687" s="22"/>
    </row>
    <row collapsed="false" customFormat="false" customHeight="false" hidden="false" ht="12.1" outlineLevel="0" r="688">
      <c r="A688" s="25" t="n">
        <v>45594.658043981</v>
      </c>
      <c r="B688" s="26" t="s">
        <v>1089</v>
      </c>
      <c r="C688" s="26" t="s">
        <v>1090</v>
      </c>
      <c r="D688" s="26" t="s">
        <v>1089</v>
      </c>
      <c r="E688" s="26" t="s">
        <v>1089</v>
      </c>
      <c r="F688" s="26" t="s">
        <v>19</v>
      </c>
      <c r="G688" s="27" t="n">
        <v>1</v>
      </c>
      <c r="H688" s="28" t="n">
        <v>-5</v>
      </c>
      <c r="I688" s="28" t="n">
        <v>-5</v>
      </c>
      <c r="J688" s="28" t="n">
        <v>0</v>
      </c>
      <c r="K688" s="28" t="n">
        <v>0</v>
      </c>
      <c r="L688" s="28" t="n">
        <v>0</v>
      </c>
      <c r="M688" s="6" t="s">
        <f>=I688+J688+K688+L688</f>
      </c>
      <c r="N688" s="28"/>
      <c r="O688" s="26"/>
    </row>
    <row collapsed="false" customFormat="false" customHeight="false" hidden="false" ht="12.1" outlineLevel="0" r="689">
      <c r="A689" s="21" t="n">
        <v>45595.433518519</v>
      </c>
      <c r="B689" s="22" t="s">
        <v>1063</v>
      </c>
      <c r="C689" s="22" t="s">
        <v>1174</v>
      </c>
      <c r="D689" s="22" t="s">
        <v>1063</v>
      </c>
      <c r="E689" s="22" t="s">
        <v>1063</v>
      </c>
      <c r="F689" s="22" t="s">
        <v>19</v>
      </c>
      <c r="G689" s="23" t="n">
        <v>1</v>
      </c>
      <c r="H689" s="24" t="n">
        <v>1</v>
      </c>
      <c r="I689" s="24" t="n">
        <v>33.7</v>
      </c>
      <c r="J689" s="24" t="n">
        <v>0</v>
      </c>
      <c r="K689" s="24" t="n">
        <v>0</v>
      </c>
      <c r="L689" s="24" t="n">
        <v>0</v>
      </c>
      <c r="M689" s="6" t="s">
        <f>=I689+J689+K689+L689</f>
      </c>
      <c r="N689" s="24"/>
      <c r="O689" s="22"/>
    </row>
    <row collapsed="false" customFormat="false" customHeight="false" hidden="false" ht="12.1" outlineLevel="0" r="690">
      <c r="A690" s="21" t="n">
        <v>45595.528634259</v>
      </c>
      <c r="B690" s="22" t="s">
        <v>1063</v>
      </c>
      <c r="C690" s="22" t="s">
        <v>1219</v>
      </c>
      <c r="D690" s="22" t="s">
        <v>1063</v>
      </c>
      <c r="E690" s="22" t="s">
        <v>1063</v>
      </c>
      <c r="F690" s="22" t="s">
        <v>19</v>
      </c>
      <c r="G690" s="23" t="n">
        <v>1</v>
      </c>
      <c r="H690" s="24" t="n">
        <v>1</v>
      </c>
      <c r="I690" s="24" t="n">
        <v>74.82</v>
      </c>
      <c r="J690" s="24" t="n">
        <v>0</v>
      </c>
      <c r="K690" s="24" t="n">
        <v>0</v>
      </c>
      <c r="L690" s="24" t="n">
        <v>0</v>
      </c>
      <c r="M690" s="6" t="s">
        <f>=I690+J690+K690+L690</f>
      </c>
      <c r="N690" s="24"/>
      <c r="O690" s="22"/>
    </row>
    <row collapsed="false" customFormat="false" customHeight="false" hidden="false" ht="12.1" outlineLevel="0" r="691">
      <c r="A691" s="25" t="n">
        <v>45595.528634259</v>
      </c>
      <c r="B691" s="26" t="s">
        <v>1089</v>
      </c>
      <c r="C691" s="26" t="s">
        <v>1220</v>
      </c>
      <c r="D691" s="26" t="s">
        <v>1089</v>
      </c>
      <c r="E691" s="26" t="s">
        <v>1089</v>
      </c>
      <c r="F691" s="26" t="s">
        <v>19</v>
      </c>
      <c r="G691" s="27" t="n">
        <v>1</v>
      </c>
      <c r="H691" s="28" t="n">
        <v>-9</v>
      </c>
      <c r="I691" s="28" t="n">
        <v>-9</v>
      </c>
      <c r="J691" s="28" t="n">
        <v>0</v>
      </c>
      <c r="K691" s="28" t="n">
        <v>0</v>
      </c>
      <c r="L691" s="28" t="n">
        <v>0</v>
      </c>
      <c r="M691" s="6" t="s">
        <f>=I691+J691+K691+L691</f>
      </c>
      <c r="N691" s="28"/>
      <c r="O691" s="26"/>
    </row>
    <row collapsed="false" customFormat="false" customHeight="false" hidden="false" ht="12.1" outlineLevel="0" r="692">
      <c r="A692" s="21" t="n">
        <v>45595.753321759</v>
      </c>
      <c r="B692" s="22" t="s">
        <v>1063</v>
      </c>
      <c r="C692" s="22" t="s">
        <v>1235</v>
      </c>
      <c r="D692" s="22" t="s">
        <v>1063</v>
      </c>
      <c r="E692" s="22" t="s">
        <v>1063</v>
      </c>
      <c r="F692" s="22" t="s">
        <v>19</v>
      </c>
      <c r="G692" s="23" t="n">
        <v>1</v>
      </c>
      <c r="H692" s="24" t="n">
        <v>1</v>
      </c>
      <c r="I692" s="24" t="n">
        <v>33.04</v>
      </c>
      <c r="J692" s="24" t="n">
        <v>0</v>
      </c>
      <c r="K692" s="24" t="n">
        <v>0</v>
      </c>
      <c r="L692" s="24" t="n">
        <v>0</v>
      </c>
      <c r="M692" s="6" t="s">
        <f>=I692+J692+K692+L692</f>
      </c>
      <c r="N692" s="24"/>
      <c r="O692" s="22"/>
    </row>
    <row collapsed="false" customFormat="false" customHeight="false" hidden="false" ht="12.1" outlineLevel="0" r="693">
      <c r="A693" s="21" t="n">
        <v>45596.568043981</v>
      </c>
      <c r="B693" s="22" t="s">
        <v>1063</v>
      </c>
      <c r="C693" s="22" t="s">
        <v>1236</v>
      </c>
      <c r="D693" s="22" t="s">
        <v>1063</v>
      </c>
      <c r="E693" s="22" t="s">
        <v>1063</v>
      </c>
      <c r="F693" s="22" t="s">
        <v>19</v>
      </c>
      <c r="G693" s="23" t="n">
        <v>1</v>
      </c>
      <c r="H693" s="24" t="n">
        <v>1</v>
      </c>
      <c r="I693" s="24" t="n">
        <v>58.34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4"/>
      <c r="O693" s="22"/>
    </row>
    <row collapsed="false" customFormat="false" customHeight="false" hidden="false" ht="12.1" outlineLevel="0" r="694">
      <c r="A694" s="21" t="n">
        <v>45596.657222222</v>
      </c>
      <c r="B694" s="22" t="s">
        <v>1063</v>
      </c>
      <c r="C694" s="22" t="s">
        <v>1117</v>
      </c>
      <c r="D694" s="22" t="s">
        <v>1063</v>
      </c>
      <c r="E694" s="22" t="s">
        <v>1063</v>
      </c>
      <c r="F694" s="22" t="s">
        <v>19</v>
      </c>
      <c r="G694" s="23" t="n">
        <v>1</v>
      </c>
      <c r="H694" s="24" t="n">
        <v>1</v>
      </c>
      <c r="I694" s="24" t="n">
        <v>28.22</v>
      </c>
      <c r="J694" s="24" t="n">
        <v>0</v>
      </c>
      <c r="K694" s="24" t="n">
        <v>0</v>
      </c>
      <c r="L694" s="24" t="n">
        <v>0</v>
      </c>
      <c r="M694" s="6" t="s">
        <f>=I694+J694+K694+L694</f>
      </c>
      <c r="N694" s="24"/>
      <c r="O694" s="22"/>
    </row>
    <row collapsed="false" customFormat="false" customHeight="false" hidden="false" ht="12.1" outlineLevel="0" r="695">
      <c r="A695" s="21" t="n">
        <v>45596.703842593</v>
      </c>
      <c r="B695" s="22" t="s">
        <v>1063</v>
      </c>
      <c r="C695" s="22" t="s">
        <v>1181</v>
      </c>
      <c r="D695" s="22" t="s">
        <v>1063</v>
      </c>
      <c r="E695" s="22" t="s">
        <v>1063</v>
      </c>
      <c r="F695" s="22" t="s">
        <v>19</v>
      </c>
      <c r="G695" s="23" t="n">
        <v>1</v>
      </c>
      <c r="H695" s="24" t="n">
        <v>1</v>
      </c>
      <c r="I695" s="24" t="n">
        <v>44.89</v>
      </c>
      <c r="J695" s="24" t="n">
        <v>0</v>
      </c>
      <c r="K695" s="24" t="n">
        <v>0</v>
      </c>
      <c r="L695" s="24" t="n">
        <v>0</v>
      </c>
      <c r="M695" s="6" t="s">
        <f>=I695+J695+K695+L695</f>
      </c>
      <c r="N695" s="24"/>
      <c r="O695" s="22"/>
    </row>
    <row collapsed="false" customFormat="false" customHeight="false" hidden="false" ht="12.1" outlineLevel="0" r="696">
      <c r="A696" s="21" t="n">
        <v>45597.599108796</v>
      </c>
      <c r="B696" s="22" t="s">
        <v>1063</v>
      </c>
      <c r="C696" s="22" t="s">
        <v>1101</v>
      </c>
      <c r="D696" s="22" t="s">
        <v>1063</v>
      </c>
      <c r="E696" s="22" t="s">
        <v>1063</v>
      </c>
      <c r="F696" s="22" t="s">
        <v>19</v>
      </c>
      <c r="G696" s="23" t="n">
        <v>1</v>
      </c>
      <c r="H696" s="24" t="n">
        <v>1</v>
      </c>
      <c r="I696" s="24" t="n">
        <v>42.38</v>
      </c>
      <c r="J696" s="24" t="n">
        <v>0</v>
      </c>
      <c r="K696" s="24" t="n">
        <v>0</v>
      </c>
      <c r="L696" s="24" t="n">
        <v>0</v>
      </c>
      <c r="M696" s="6" t="s">
        <f>=I696+J696+K696+L696</f>
      </c>
      <c r="N696" s="24"/>
      <c r="O696" s="22"/>
    </row>
    <row collapsed="false" customFormat="false" customHeight="false" hidden="false" ht="12.1" outlineLevel="0" r="697">
      <c r="A697" s="21" t="n">
        <v>45597.648206019</v>
      </c>
      <c r="B697" s="22" t="s">
        <v>1056</v>
      </c>
      <c r="C697" s="22" t="s">
        <v>350</v>
      </c>
      <c r="D697" s="22" t="s">
        <v>1056</v>
      </c>
      <c r="E697" s="22" t="s">
        <v>1056</v>
      </c>
      <c r="F697" s="22" t="s">
        <v>19</v>
      </c>
      <c r="G697" s="23" t="n">
        <v>1</v>
      </c>
      <c r="H697" s="24" t="n">
        <v>1</v>
      </c>
      <c r="I697" s="24" t="n">
        <v>5000</v>
      </c>
      <c r="J697" s="24" t="n">
        <v>0</v>
      </c>
      <c r="K697" s="24" t="n">
        <v>0</v>
      </c>
      <c r="L697" s="24" t="n">
        <v>0</v>
      </c>
      <c r="M697" s="6" t="s">
        <f>=I697+J697+K697+L697</f>
      </c>
      <c r="N697" s="24"/>
      <c r="O697" s="22"/>
    </row>
    <row collapsed="false" customFormat="false" customHeight="false" hidden="false" ht="12.1" outlineLevel="0" r="698">
      <c r="A698" s="21" t="n">
        <v>45597.652465278</v>
      </c>
      <c r="B698" s="22" t="s">
        <v>1056</v>
      </c>
      <c r="C698" s="22" t="s">
        <v>350</v>
      </c>
      <c r="D698" s="22" t="s">
        <v>1056</v>
      </c>
      <c r="E698" s="22" t="s">
        <v>1056</v>
      </c>
      <c r="F698" s="22" t="s">
        <v>19</v>
      </c>
      <c r="G698" s="23" t="n">
        <v>1</v>
      </c>
      <c r="H698" s="24" t="n">
        <v>1</v>
      </c>
      <c r="I698" s="24" t="n">
        <v>6200</v>
      </c>
      <c r="J698" s="24" t="n">
        <v>0</v>
      </c>
      <c r="K698" s="24" t="n">
        <v>0</v>
      </c>
      <c r="L698" s="24" t="n">
        <v>0</v>
      </c>
      <c r="M698" s="6" t="s">
        <f>=I698+J698+K698+L698</f>
      </c>
      <c r="N698" s="24"/>
      <c r="O698" s="22"/>
    </row>
    <row collapsed="false" customFormat="false" customHeight="false" hidden="false" ht="12.1" outlineLevel="0" r="699">
      <c r="A699" s="20" t="n">
        <v>45597.654872685</v>
      </c>
      <c r="B699" s="16" t="s">
        <v>16</v>
      </c>
      <c r="C699" s="16" t="s">
        <v>1112</v>
      </c>
      <c r="D699" s="16" t="s">
        <v>912</v>
      </c>
      <c r="E699" s="16" t="s">
        <v>17</v>
      </c>
      <c r="F699" s="16" t="s">
        <v>19</v>
      </c>
      <c r="G699" s="7" t="n">
        <v>30</v>
      </c>
      <c r="H699" s="6" t="n">
        <v>235.05</v>
      </c>
      <c r="I699" s="6" t="n">
        <v>-7051.5</v>
      </c>
      <c r="J699" s="6" t="n">
        <v>0</v>
      </c>
      <c r="K699" s="6" t="n">
        <v>-21.15</v>
      </c>
      <c r="L699" s="6" t="n">
        <v>0</v>
      </c>
      <c r="M699" s="6" t="s">
        <f>=I699+J699+K699+L699</f>
      </c>
      <c r="N699" s="6"/>
      <c r="O699" s="16"/>
    </row>
    <row collapsed="false" customFormat="false" customHeight="false" hidden="false" ht="12.1" outlineLevel="0" r="700">
      <c r="A700" s="20" t="n">
        <v>45597.65525463</v>
      </c>
      <c r="B700" s="16" t="s">
        <v>42</v>
      </c>
      <c r="C700" s="16" t="s">
        <v>1077</v>
      </c>
      <c r="D700" s="16" t="s">
        <v>912</v>
      </c>
      <c r="E700" s="16" t="s">
        <v>17</v>
      </c>
      <c r="F700" s="16" t="s">
        <v>19</v>
      </c>
      <c r="G700" s="7" t="n">
        <v>100</v>
      </c>
      <c r="H700" s="6" t="n">
        <v>3.798</v>
      </c>
      <c r="I700" s="6" t="n">
        <v>-379.8</v>
      </c>
      <c r="J700" s="6" t="n">
        <v>0</v>
      </c>
      <c r="K700" s="6" t="n">
        <v>-1.14</v>
      </c>
      <c r="L700" s="6" t="n">
        <v>0</v>
      </c>
      <c r="M700" s="6" t="s">
        <f>=I700+J700+K700+L700</f>
      </c>
      <c r="N700" s="6"/>
      <c r="O700" s="16"/>
    </row>
    <row collapsed="false" customFormat="false" customHeight="false" hidden="false" ht="12.1" outlineLevel="0" r="701">
      <c r="A701" s="20" t="n">
        <v>45597.655706019</v>
      </c>
      <c r="B701" s="16" t="s">
        <v>45</v>
      </c>
      <c r="C701" s="16" t="s">
        <v>1177</v>
      </c>
      <c r="D701" s="16" t="s">
        <v>912</v>
      </c>
      <c r="E701" s="16" t="s">
        <v>17</v>
      </c>
      <c r="F701" s="16" t="s">
        <v>19</v>
      </c>
      <c r="G701" s="7" t="n">
        <v>10</v>
      </c>
      <c r="H701" s="6" t="n">
        <v>183.15</v>
      </c>
      <c r="I701" s="6" t="n">
        <v>-1831.5</v>
      </c>
      <c r="J701" s="6" t="n">
        <v>0</v>
      </c>
      <c r="K701" s="6" t="n">
        <v>-5.49</v>
      </c>
      <c r="L701" s="6" t="n">
        <v>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45597.656006944</v>
      </c>
      <c r="B702" s="16" t="s">
        <v>69</v>
      </c>
      <c r="C702" s="16" t="s">
        <v>1087</v>
      </c>
      <c r="D702" s="16" t="s">
        <v>912</v>
      </c>
      <c r="E702" s="16" t="s">
        <v>17</v>
      </c>
      <c r="F702" s="16" t="s">
        <v>19</v>
      </c>
      <c r="G702" s="7" t="n">
        <v>100</v>
      </c>
      <c r="H702" s="6" t="n">
        <v>5.852</v>
      </c>
      <c r="I702" s="6" t="n">
        <v>-585.2</v>
      </c>
      <c r="J702" s="6" t="n">
        <v>0</v>
      </c>
      <c r="K702" s="6" t="n">
        <v>-1.76</v>
      </c>
      <c r="L702" s="6" t="n">
        <v>0</v>
      </c>
      <c r="M702" s="6" t="s">
        <f>=I702+J702+K702+L702</f>
      </c>
      <c r="N702" s="6"/>
      <c r="O702" s="16"/>
    </row>
    <row collapsed="false" customFormat="false" customHeight="false" hidden="false" ht="12.1" outlineLevel="0" r="703">
      <c r="A703" s="20" t="n">
        <v>45597.657233796</v>
      </c>
      <c r="B703" s="16" t="s">
        <v>937</v>
      </c>
      <c r="C703" s="16" t="s">
        <v>1257</v>
      </c>
      <c r="D703" s="16" t="s">
        <v>912</v>
      </c>
      <c r="E703" s="16" t="s">
        <v>17</v>
      </c>
      <c r="F703" s="16" t="s">
        <v>19</v>
      </c>
      <c r="G703" s="7" t="n">
        <v>10</v>
      </c>
      <c r="H703" s="6" t="n">
        <v>283.8</v>
      </c>
      <c r="I703" s="6" t="n">
        <v>-2838</v>
      </c>
      <c r="J703" s="6" t="n">
        <v>0</v>
      </c>
      <c r="K703" s="6" t="n">
        <v>-8.51</v>
      </c>
      <c r="L703" s="6" t="n">
        <v>0</v>
      </c>
      <c r="M703" s="6" t="s">
        <f>=I703+J703+K703+L703</f>
      </c>
      <c r="N703" s="6"/>
      <c r="O703" s="16"/>
    </row>
    <row collapsed="false" customFormat="false" customHeight="false" hidden="false" ht="12.1" outlineLevel="0" r="704">
      <c r="A704" s="20" t="n">
        <v>45597.657835648</v>
      </c>
      <c r="B704" s="16" t="s">
        <v>33</v>
      </c>
      <c r="C704" s="16" t="s">
        <v>1078</v>
      </c>
      <c r="D704" s="16" t="s">
        <v>912</v>
      </c>
      <c r="E704" s="16" t="s">
        <v>17</v>
      </c>
      <c r="F704" s="16" t="s">
        <v>19</v>
      </c>
      <c r="G704" s="7" t="n">
        <v>10</v>
      </c>
      <c r="H704" s="6" t="n">
        <v>123.3</v>
      </c>
      <c r="I704" s="6" t="n">
        <v>-1233</v>
      </c>
      <c r="J704" s="6" t="n">
        <v>0</v>
      </c>
      <c r="K704" s="6" t="n">
        <v>-3.7</v>
      </c>
      <c r="L704" s="6" t="n">
        <v>0</v>
      </c>
      <c r="M704" s="6" t="s">
        <f>=I704+J704+K704+L704</f>
      </c>
      <c r="N704" s="6"/>
      <c r="O704" s="16"/>
    </row>
    <row collapsed="false" customFormat="false" customHeight="false" hidden="false" ht="12.1" outlineLevel="0" r="705">
      <c r="A705" s="20" t="n">
        <v>45597.658194444</v>
      </c>
      <c r="B705" s="16" t="s">
        <v>39</v>
      </c>
      <c r="C705" s="16" t="s">
        <v>1079</v>
      </c>
      <c r="D705" s="16" t="s">
        <v>912</v>
      </c>
      <c r="E705" s="16" t="s">
        <v>17</v>
      </c>
      <c r="F705" s="16" t="s">
        <v>19</v>
      </c>
      <c r="G705" s="7" t="n">
        <v>1</v>
      </c>
      <c r="H705" s="6" t="n">
        <v>538.9</v>
      </c>
      <c r="I705" s="6" t="n">
        <v>-538.9</v>
      </c>
      <c r="J705" s="6" t="n">
        <v>0</v>
      </c>
      <c r="K705" s="6" t="n">
        <v>-1.62</v>
      </c>
      <c r="L705" s="6" t="n">
        <v>0</v>
      </c>
      <c r="M705" s="6" t="s">
        <f>=I705+J705+K705+L705</f>
      </c>
      <c r="N705" s="6"/>
      <c r="O705" s="16"/>
    </row>
    <row collapsed="false" customFormat="false" customHeight="false" hidden="false" ht="12.1" outlineLevel="0" r="706">
      <c r="A706" s="29" t="n">
        <v>45597.959027778</v>
      </c>
      <c r="B706" s="30" t="s">
        <v>919</v>
      </c>
      <c r="C706" s="30" t="s">
        <v>1068</v>
      </c>
      <c r="D706" s="30" t="s">
        <v>938</v>
      </c>
      <c r="E706" s="30" t="s">
        <v>17</v>
      </c>
      <c r="F706" s="30" t="s">
        <v>19</v>
      </c>
      <c r="G706" s="31" t="n">
        <v>-2</v>
      </c>
      <c r="H706" s="32" t="n">
        <v>520</v>
      </c>
      <c r="I706" s="32" t="n">
        <v>1040</v>
      </c>
      <c r="J706" s="32" t="n">
        <v>0</v>
      </c>
      <c r="K706" s="32" t="n">
        <v>0</v>
      </c>
      <c r="L706" s="32" t="n">
        <v>0</v>
      </c>
      <c r="M706" s="6" t="s">
        <f>=I706+J706+K706+L706</f>
      </c>
      <c r="N706" s="32"/>
      <c r="O706" s="30"/>
    </row>
    <row collapsed="false" customFormat="false" customHeight="false" hidden="false" ht="12.1" outlineLevel="0" r="707">
      <c r="A707" s="21" t="n">
        <v>45598.562025463</v>
      </c>
      <c r="B707" s="22" t="s">
        <v>1063</v>
      </c>
      <c r="C707" s="22" t="s">
        <v>1258</v>
      </c>
      <c r="D707" s="22" t="s">
        <v>1063</v>
      </c>
      <c r="E707" s="22" t="s">
        <v>1063</v>
      </c>
      <c r="F707" s="22" t="s">
        <v>19</v>
      </c>
      <c r="G707" s="23" t="n">
        <v>1</v>
      </c>
      <c r="H707" s="24" t="n">
        <v>1</v>
      </c>
      <c r="I707" s="24" t="n">
        <v>23.86</v>
      </c>
      <c r="J707" s="24" t="n">
        <v>0</v>
      </c>
      <c r="K707" s="24" t="n">
        <v>0</v>
      </c>
      <c r="L707" s="24" t="n">
        <v>0</v>
      </c>
      <c r="M707" s="6" t="s">
        <f>=I707+J707+K707+L707</f>
      </c>
      <c r="N707" s="24"/>
      <c r="O707" s="22"/>
    </row>
    <row collapsed="false" customFormat="false" customHeight="false" hidden="false" ht="12.1" outlineLevel="0" r="708">
      <c r="A708" s="21" t="n">
        <v>45598.622881944</v>
      </c>
      <c r="B708" s="22" t="s">
        <v>1063</v>
      </c>
      <c r="C708" s="22" t="s">
        <v>1259</v>
      </c>
      <c r="D708" s="22" t="s">
        <v>1063</v>
      </c>
      <c r="E708" s="22" t="s">
        <v>1063</v>
      </c>
      <c r="F708" s="22" t="s">
        <v>19</v>
      </c>
      <c r="G708" s="23" t="n">
        <v>1</v>
      </c>
      <c r="H708" s="24" t="n">
        <v>1</v>
      </c>
      <c r="I708" s="24" t="n">
        <v>24.9</v>
      </c>
      <c r="J708" s="24" t="n">
        <v>0</v>
      </c>
      <c r="K708" s="24" t="n">
        <v>0</v>
      </c>
      <c r="L708" s="24" t="n">
        <v>0</v>
      </c>
      <c r="M708" s="6" t="s">
        <f>=I708+J708+K708+L708</f>
      </c>
      <c r="N708" s="24"/>
      <c r="O708" s="22"/>
    </row>
    <row collapsed="false" customFormat="false" customHeight="false" hidden="false" ht="12.1" outlineLevel="0" r="709">
      <c r="A709" s="25" t="n">
        <v>45598.622881944</v>
      </c>
      <c r="B709" s="26" t="s">
        <v>1089</v>
      </c>
      <c r="C709" s="26" t="s">
        <v>1260</v>
      </c>
      <c r="D709" s="26" t="s">
        <v>1089</v>
      </c>
      <c r="E709" s="26" t="s">
        <v>1089</v>
      </c>
      <c r="F709" s="26" t="s">
        <v>19</v>
      </c>
      <c r="G709" s="27" t="n">
        <v>1</v>
      </c>
      <c r="H709" s="28" t="n">
        <v>-4</v>
      </c>
      <c r="I709" s="28" t="n">
        <v>-4</v>
      </c>
      <c r="J709" s="28" t="n">
        <v>0</v>
      </c>
      <c r="K709" s="28" t="n">
        <v>0</v>
      </c>
      <c r="L709" s="28" t="n">
        <v>0</v>
      </c>
      <c r="M709" s="6" t="s">
        <f>=I709+J709+K709+L709</f>
      </c>
      <c r="N709" s="28"/>
      <c r="O709" s="26"/>
    </row>
    <row collapsed="false" customFormat="false" customHeight="false" hidden="false" ht="12.1" outlineLevel="0" r="710">
      <c r="A710" s="21" t="n">
        <v>45610.465219907</v>
      </c>
      <c r="B710" s="22" t="s">
        <v>1063</v>
      </c>
      <c r="C710" s="22" t="s">
        <v>1102</v>
      </c>
      <c r="D710" s="22" t="s">
        <v>1063</v>
      </c>
      <c r="E710" s="22" t="s">
        <v>1063</v>
      </c>
      <c r="F710" s="22" t="s">
        <v>19</v>
      </c>
      <c r="G710" s="23" t="n">
        <v>1</v>
      </c>
      <c r="H710" s="24" t="n">
        <v>1</v>
      </c>
      <c r="I710" s="24" t="n">
        <v>594.79</v>
      </c>
      <c r="J710" s="24" t="n">
        <v>0</v>
      </c>
      <c r="K710" s="24" t="n">
        <v>0</v>
      </c>
      <c r="L710" s="24" t="n">
        <v>0</v>
      </c>
      <c r="M710" s="6" t="s">
        <f>=I710+J710+K710+L710</f>
      </c>
      <c r="N710" s="24"/>
      <c r="O710" s="22"/>
    </row>
    <row collapsed="false" customFormat="false" customHeight="false" hidden="false" ht="12.1" outlineLevel="0" r="711">
      <c r="A711" s="21" t="n">
        <v>45610.596493056</v>
      </c>
      <c r="B711" s="22" t="s">
        <v>1063</v>
      </c>
      <c r="C711" s="22" t="s">
        <v>1214</v>
      </c>
      <c r="D711" s="22" t="s">
        <v>1063</v>
      </c>
      <c r="E711" s="22" t="s">
        <v>1063</v>
      </c>
      <c r="F711" s="22" t="s">
        <v>19</v>
      </c>
      <c r="G711" s="23" t="n">
        <v>1</v>
      </c>
      <c r="H711" s="24" t="n">
        <v>1</v>
      </c>
      <c r="I711" s="24" t="n">
        <v>4.67</v>
      </c>
      <c r="J711" s="24" t="n">
        <v>0</v>
      </c>
      <c r="K711" s="24" t="n">
        <v>0</v>
      </c>
      <c r="L711" s="24" t="n">
        <v>0</v>
      </c>
      <c r="M711" s="6" t="s">
        <f>=I711+J711+K711+L711</f>
      </c>
      <c r="N711" s="24"/>
      <c r="O711" s="22"/>
    </row>
    <row collapsed="false" customFormat="false" customHeight="false" hidden="false" ht="12.1" outlineLevel="0" r="712">
      <c r="A712" s="21" t="n">
        <v>45615.399259259</v>
      </c>
      <c r="B712" s="22" t="s">
        <v>1063</v>
      </c>
      <c r="C712" s="22" t="s">
        <v>1137</v>
      </c>
      <c r="D712" s="22" t="s">
        <v>1063</v>
      </c>
      <c r="E712" s="22" t="s">
        <v>1063</v>
      </c>
      <c r="F712" s="22" t="s">
        <v>19</v>
      </c>
      <c r="G712" s="23" t="n">
        <v>1</v>
      </c>
      <c r="H712" s="24" t="n">
        <v>1</v>
      </c>
      <c r="I712" s="24" t="n">
        <v>42.14</v>
      </c>
      <c r="J712" s="24" t="n">
        <v>0</v>
      </c>
      <c r="K712" s="24" t="n">
        <v>0</v>
      </c>
      <c r="L712" s="24" t="n">
        <v>0</v>
      </c>
      <c r="M712" s="6" t="s">
        <f>=I712+J712+K712+L712</f>
      </c>
      <c r="N712" s="24"/>
      <c r="O712" s="22"/>
    </row>
    <row collapsed="false" customFormat="false" customHeight="false" hidden="false" ht="12.1" outlineLevel="0" r="713">
      <c r="A713" s="21" t="n">
        <v>45615.403993056</v>
      </c>
      <c r="B713" s="22" t="s">
        <v>1073</v>
      </c>
      <c r="C713" s="22" t="s">
        <v>1215</v>
      </c>
      <c r="D713" s="22" t="s">
        <v>1073</v>
      </c>
      <c r="E713" s="22" t="s">
        <v>1073</v>
      </c>
      <c r="F713" s="22" t="s">
        <v>19</v>
      </c>
      <c r="G713" s="23" t="n">
        <v>1</v>
      </c>
      <c r="H713" s="24" t="n">
        <v>1</v>
      </c>
      <c r="I713" s="24" t="n">
        <v>500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4"/>
      <c r="O713" s="22"/>
    </row>
    <row collapsed="false" customFormat="false" customHeight="false" hidden="false" ht="12.1" outlineLevel="0" r="714">
      <c r="A714" s="21" t="n">
        <v>45617.464398148</v>
      </c>
      <c r="B714" s="22" t="s">
        <v>1063</v>
      </c>
      <c r="C714" s="22" t="s">
        <v>1104</v>
      </c>
      <c r="D714" s="22" t="s">
        <v>1063</v>
      </c>
      <c r="E714" s="22" t="s">
        <v>1063</v>
      </c>
      <c r="F714" s="22" t="s">
        <v>19</v>
      </c>
      <c r="G714" s="23" t="n">
        <v>1</v>
      </c>
      <c r="H714" s="24" t="n">
        <v>1</v>
      </c>
      <c r="I714" s="24" t="n">
        <v>325.35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4"/>
      <c r="O714" s="22"/>
    </row>
    <row collapsed="false" customFormat="false" customHeight="false" hidden="false" ht="12.1" outlineLevel="0" r="715">
      <c r="A715" s="21" t="n">
        <v>45617.679490741</v>
      </c>
      <c r="B715" s="22" t="s">
        <v>1063</v>
      </c>
      <c r="C715" s="22" t="s">
        <v>1183</v>
      </c>
      <c r="D715" s="22" t="s">
        <v>1063</v>
      </c>
      <c r="E715" s="22" t="s">
        <v>1063</v>
      </c>
      <c r="F715" s="22" t="s">
        <v>19</v>
      </c>
      <c r="G715" s="23" t="n">
        <v>1</v>
      </c>
      <c r="H715" s="24" t="n">
        <v>1</v>
      </c>
      <c r="I715" s="24" t="n">
        <v>84.9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4"/>
      <c r="O715" s="22"/>
    </row>
    <row collapsed="false" customFormat="false" customHeight="false" hidden="false" ht="12.1" outlineLevel="0" r="716">
      <c r="A716" s="21" t="n">
        <v>45618.532418981</v>
      </c>
      <c r="B716" s="22" t="s">
        <v>1063</v>
      </c>
      <c r="C716" s="22" t="s">
        <v>1142</v>
      </c>
      <c r="D716" s="22" t="s">
        <v>1063</v>
      </c>
      <c r="E716" s="22" t="s">
        <v>1063</v>
      </c>
      <c r="F716" s="22" t="s">
        <v>19</v>
      </c>
      <c r="G716" s="23" t="n">
        <v>1</v>
      </c>
      <c r="H716" s="24" t="n">
        <v>1</v>
      </c>
      <c r="I716" s="24" t="n">
        <v>8.66</v>
      </c>
      <c r="J716" s="24" t="n">
        <v>0</v>
      </c>
      <c r="K716" s="24" t="n">
        <v>0</v>
      </c>
      <c r="L716" s="24" t="n">
        <v>0</v>
      </c>
      <c r="M716" s="6" t="s">
        <f>=I716+J716+K716+L716</f>
      </c>
      <c r="N716" s="24"/>
      <c r="O716" s="22"/>
    </row>
    <row collapsed="false" customFormat="false" customHeight="false" hidden="false" ht="12.1" outlineLevel="0" r="717">
      <c r="A717" s="21" t="n">
        <v>45623.624259259</v>
      </c>
      <c r="B717" s="22" t="s">
        <v>1063</v>
      </c>
      <c r="C717" s="22" t="s">
        <v>1251</v>
      </c>
      <c r="D717" s="22" t="s">
        <v>1063</v>
      </c>
      <c r="E717" s="22" t="s">
        <v>1063</v>
      </c>
      <c r="F717" s="22" t="s">
        <v>19</v>
      </c>
      <c r="G717" s="23" t="n">
        <v>1</v>
      </c>
      <c r="H717" s="24" t="n">
        <v>1</v>
      </c>
      <c r="I717" s="24" t="n">
        <v>11.18</v>
      </c>
      <c r="J717" s="24" t="n">
        <v>0</v>
      </c>
      <c r="K717" s="24" t="n">
        <v>0</v>
      </c>
      <c r="L717" s="24" t="n">
        <v>0</v>
      </c>
      <c r="M717" s="6" t="s">
        <f>=I717+J717+K717+L717</f>
      </c>
      <c r="N717" s="24"/>
      <c r="O717" s="22"/>
    </row>
    <row collapsed="false" customFormat="false" customHeight="false" hidden="false" ht="12.1" outlineLevel="0" r="718">
      <c r="A718" s="21" t="n">
        <v>45623.655358796</v>
      </c>
      <c r="B718" s="22" t="s">
        <v>1063</v>
      </c>
      <c r="C718" s="22" t="s">
        <v>1207</v>
      </c>
      <c r="D718" s="22" t="s">
        <v>1063</v>
      </c>
      <c r="E718" s="22" t="s">
        <v>1063</v>
      </c>
      <c r="F718" s="22" t="s">
        <v>19</v>
      </c>
      <c r="G718" s="23" t="n">
        <v>1</v>
      </c>
      <c r="H718" s="24" t="n">
        <v>1</v>
      </c>
      <c r="I718" s="24" t="n">
        <v>16.79</v>
      </c>
      <c r="J718" s="24" t="n">
        <v>0</v>
      </c>
      <c r="K718" s="24" t="n">
        <v>0</v>
      </c>
      <c r="L718" s="24" t="n">
        <v>0</v>
      </c>
      <c r="M718" s="6" t="s">
        <f>=I718+J718+K718+L718</f>
      </c>
      <c r="N718" s="24"/>
      <c r="O718" s="22"/>
    </row>
    <row collapsed="false" customFormat="false" customHeight="false" hidden="false" ht="12.1" outlineLevel="0" r="719">
      <c r="A719" s="21" t="n">
        <v>45623.709236111</v>
      </c>
      <c r="B719" s="22" t="s">
        <v>1063</v>
      </c>
      <c r="C719" s="22" t="s">
        <v>1261</v>
      </c>
      <c r="D719" s="22" t="s">
        <v>1063</v>
      </c>
      <c r="E719" s="22" t="s">
        <v>1063</v>
      </c>
      <c r="F719" s="22" t="s">
        <v>19</v>
      </c>
      <c r="G719" s="23" t="n">
        <v>1</v>
      </c>
      <c r="H719" s="24" t="n">
        <v>1</v>
      </c>
      <c r="I719" s="24" t="n">
        <v>24.93</v>
      </c>
      <c r="J719" s="24" t="n">
        <v>0</v>
      </c>
      <c r="K719" s="24" t="n">
        <v>0</v>
      </c>
      <c r="L719" s="24" t="n">
        <v>0</v>
      </c>
      <c r="M719" s="6" t="s">
        <f>=I719+J719+K719+L719</f>
      </c>
      <c r="N719" s="24"/>
      <c r="O719" s="22"/>
    </row>
    <row collapsed="false" customFormat="false" customHeight="false" hidden="false" ht="12.1" outlineLevel="0" r="720">
      <c r="A720" s="21" t="n">
        <v>45623.788715278</v>
      </c>
      <c r="B720" s="22" t="s">
        <v>1063</v>
      </c>
      <c r="C720" s="22" t="s">
        <v>1235</v>
      </c>
      <c r="D720" s="22" t="s">
        <v>1063</v>
      </c>
      <c r="E720" s="22" t="s">
        <v>1063</v>
      </c>
      <c r="F720" s="22" t="s">
        <v>19</v>
      </c>
      <c r="G720" s="23" t="n">
        <v>1</v>
      </c>
      <c r="H720" s="24" t="n">
        <v>1</v>
      </c>
      <c r="I720" s="24" t="n">
        <v>33.04</v>
      </c>
      <c r="J720" s="24" t="n">
        <v>0</v>
      </c>
      <c r="K720" s="24" t="n">
        <v>0</v>
      </c>
      <c r="L720" s="24" t="n">
        <v>0</v>
      </c>
      <c r="M720" s="6" t="s">
        <f>=I720+J720+K720+L720</f>
      </c>
      <c r="N720" s="24"/>
      <c r="O720" s="22"/>
    </row>
    <row collapsed="false" customFormat="false" customHeight="false" hidden="false" ht="12.1" outlineLevel="0" r="721">
      <c r="A721" s="21" t="n">
        <v>45624.406759259</v>
      </c>
      <c r="B721" s="22" t="s">
        <v>1063</v>
      </c>
      <c r="C721" s="22" t="s">
        <v>1216</v>
      </c>
      <c r="D721" s="22" t="s">
        <v>1063</v>
      </c>
      <c r="E721" s="22" t="s">
        <v>1063</v>
      </c>
      <c r="F721" s="22" t="s">
        <v>19</v>
      </c>
      <c r="G721" s="23" t="n">
        <v>1</v>
      </c>
      <c r="H721" s="24" t="n">
        <v>1</v>
      </c>
      <c r="I721" s="24" t="n">
        <v>426.33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4"/>
      <c r="O721" s="22"/>
    </row>
    <row collapsed="false" customFormat="false" customHeight="false" hidden="false" ht="12.1" outlineLevel="0" r="722">
      <c r="A722" s="21" t="n">
        <v>45624.431863426</v>
      </c>
      <c r="B722" s="22" t="s">
        <v>1063</v>
      </c>
      <c r="C722" s="22" t="s">
        <v>1262</v>
      </c>
      <c r="D722" s="22" t="s">
        <v>1063</v>
      </c>
      <c r="E722" s="22" t="s">
        <v>1063</v>
      </c>
      <c r="F722" s="22" t="s">
        <v>19</v>
      </c>
      <c r="G722" s="23" t="n">
        <v>1</v>
      </c>
      <c r="H722" s="24" t="n">
        <v>1</v>
      </c>
      <c r="I722" s="24" t="n">
        <v>65.78</v>
      </c>
      <c r="J722" s="24" t="n">
        <v>0</v>
      </c>
      <c r="K722" s="24" t="n">
        <v>0</v>
      </c>
      <c r="L722" s="24" t="n">
        <v>0</v>
      </c>
      <c r="M722" s="6" t="s">
        <f>=I722+J722+K722+L722</f>
      </c>
      <c r="N722" s="24"/>
      <c r="O722" s="22"/>
    </row>
    <row collapsed="false" customFormat="false" customHeight="false" hidden="false" ht="12.1" outlineLevel="0" r="723">
      <c r="A723" s="21" t="n">
        <v>45624.547453704</v>
      </c>
      <c r="B723" s="22" t="s">
        <v>1063</v>
      </c>
      <c r="C723" s="22" t="s">
        <v>1174</v>
      </c>
      <c r="D723" s="22" t="s">
        <v>1063</v>
      </c>
      <c r="E723" s="22" t="s">
        <v>1063</v>
      </c>
      <c r="F723" s="22" t="s">
        <v>19</v>
      </c>
      <c r="G723" s="23" t="n">
        <v>1</v>
      </c>
      <c r="H723" s="24" t="n">
        <v>1</v>
      </c>
      <c r="I723" s="24" t="n">
        <v>33.96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4"/>
      <c r="O723" s="22"/>
    </row>
    <row collapsed="false" customFormat="false" customHeight="false" hidden="false" ht="12.1" outlineLevel="0" r="724">
      <c r="A724" s="21" t="n">
        <v>45628.504849537</v>
      </c>
      <c r="B724" s="22" t="s">
        <v>1063</v>
      </c>
      <c r="C724" s="22" t="s">
        <v>1105</v>
      </c>
      <c r="D724" s="22" t="s">
        <v>1063</v>
      </c>
      <c r="E724" s="22" t="s">
        <v>1063</v>
      </c>
      <c r="F724" s="22" t="s">
        <v>19</v>
      </c>
      <c r="G724" s="23" t="n">
        <v>1</v>
      </c>
      <c r="H724" s="24" t="n">
        <v>1</v>
      </c>
      <c r="I724" s="24" t="n">
        <v>24.81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4"/>
      <c r="O724" s="22"/>
    </row>
    <row collapsed="false" customFormat="false" customHeight="false" hidden="false" ht="12.1" outlineLevel="0" r="725">
      <c r="A725" s="21" t="n">
        <v>45629.628576389</v>
      </c>
      <c r="B725" s="22" t="s">
        <v>1063</v>
      </c>
      <c r="C725" s="22" t="s">
        <v>1218</v>
      </c>
      <c r="D725" s="22" t="s">
        <v>1063</v>
      </c>
      <c r="E725" s="22" t="s">
        <v>1063</v>
      </c>
      <c r="F725" s="22" t="s">
        <v>19</v>
      </c>
      <c r="G725" s="23" t="n">
        <v>1</v>
      </c>
      <c r="H725" s="24" t="n">
        <v>1</v>
      </c>
      <c r="I725" s="24" t="n">
        <v>39.9</v>
      </c>
      <c r="J725" s="24" t="n">
        <v>0</v>
      </c>
      <c r="K725" s="24" t="n">
        <v>0</v>
      </c>
      <c r="L725" s="24" t="n">
        <v>0</v>
      </c>
      <c r="M725" s="6" t="s">
        <f>=I725+J725+K725+L725</f>
      </c>
      <c r="N725" s="24"/>
      <c r="O725" s="22"/>
    </row>
    <row collapsed="false" customFormat="false" customHeight="false" hidden="false" ht="12.1" outlineLevel="0" r="726">
      <c r="A726" s="21" t="n">
        <v>45630.519895833</v>
      </c>
      <c r="B726" s="22" t="s">
        <v>1063</v>
      </c>
      <c r="C726" s="22" t="s">
        <v>1184</v>
      </c>
      <c r="D726" s="22" t="s">
        <v>1063</v>
      </c>
      <c r="E726" s="22" t="s">
        <v>1063</v>
      </c>
      <c r="F726" s="22" t="s">
        <v>19</v>
      </c>
      <c r="G726" s="23" t="n">
        <v>1</v>
      </c>
      <c r="H726" s="24" t="n">
        <v>1</v>
      </c>
      <c r="I726" s="24" t="n">
        <v>56.1</v>
      </c>
      <c r="J726" s="24" t="n">
        <v>0</v>
      </c>
      <c r="K726" s="24" t="n">
        <v>0</v>
      </c>
      <c r="L726" s="24" t="n">
        <v>0</v>
      </c>
      <c r="M726" s="6" t="s">
        <f>=I726+J726+K726+L726</f>
      </c>
      <c r="N726" s="24"/>
      <c r="O726" s="22"/>
    </row>
    <row collapsed="false" customFormat="false" customHeight="false" hidden="false" ht="12.1" outlineLevel="0" r="727">
      <c r="A727" s="21" t="n">
        <v>45630.521851852</v>
      </c>
      <c r="B727" s="22" t="s">
        <v>1063</v>
      </c>
      <c r="C727" s="22" t="s">
        <v>1263</v>
      </c>
      <c r="D727" s="22" t="s">
        <v>1063</v>
      </c>
      <c r="E727" s="22" t="s">
        <v>1063</v>
      </c>
      <c r="F727" s="22" t="s">
        <v>19</v>
      </c>
      <c r="G727" s="23" t="n">
        <v>1</v>
      </c>
      <c r="H727" s="24" t="n">
        <v>1</v>
      </c>
      <c r="I727" s="24" t="n">
        <v>29.17</v>
      </c>
      <c r="J727" s="24" t="n">
        <v>0</v>
      </c>
      <c r="K727" s="24" t="n">
        <v>0</v>
      </c>
      <c r="L727" s="24" t="n">
        <v>0</v>
      </c>
      <c r="M727" s="6" t="s">
        <f>=I727+J727+K727+L727</f>
      </c>
      <c r="N727" s="24"/>
      <c r="O727" s="22"/>
    </row>
    <row collapsed="false" customFormat="false" customHeight="false" hidden="false" ht="12.1" outlineLevel="0" r="728">
      <c r="A728" s="21" t="n">
        <v>45631.463472222</v>
      </c>
      <c r="B728" s="22" t="s">
        <v>1063</v>
      </c>
      <c r="C728" s="22" t="s">
        <v>1150</v>
      </c>
      <c r="D728" s="22" t="s">
        <v>1063</v>
      </c>
      <c r="E728" s="22" t="s">
        <v>1063</v>
      </c>
      <c r="F728" s="22" t="s">
        <v>19</v>
      </c>
      <c r="G728" s="23" t="n">
        <v>1</v>
      </c>
      <c r="H728" s="24" t="n">
        <v>1</v>
      </c>
      <c r="I728" s="24" t="n">
        <v>778.8</v>
      </c>
      <c r="J728" s="24" t="n">
        <v>0</v>
      </c>
      <c r="K728" s="24" t="n">
        <v>0</v>
      </c>
      <c r="L728" s="24" t="n">
        <v>0</v>
      </c>
      <c r="M728" s="6" t="s">
        <f>=I728+J728+K728+L728</f>
      </c>
      <c r="N728" s="24"/>
      <c r="O728" s="22"/>
    </row>
    <row collapsed="false" customFormat="false" customHeight="false" hidden="false" ht="12.1" outlineLevel="0" r="729">
      <c r="A729" s="21" t="n">
        <v>45631.48</v>
      </c>
      <c r="B729" s="22" t="s">
        <v>1063</v>
      </c>
      <c r="C729" s="22" t="s">
        <v>1187</v>
      </c>
      <c r="D729" s="22" t="s">
        <v>1063</v>
      </c>
      <c r="E729" s="22" t="s">
        <v>1063</v>
      </c>
      <c r="F729" s="22" t="s">
        <v>19</v>
      </c>
      <c r="G729" s="23" t="n">
        <v>1</v>
      </c>
      <c r="H729" s="24" t="n">
        <v>1</v>
      </c>
      <c r="I729" s="24" t="n">
        <v>488.7</v>
      </c>
      <c r="J729" s="24" t="n">
        <v>0</v>
      </c>
      <c r="K729" s="24" t="n">
        <v>0</v>
      </c>
      <c r="L729" s="24" t="n">
        <v>0</v>
      </c>
      <c r="M729" s="6" t="s">
        <f>=I729+J729+K729+L729</f>
      </c>
      <c r="N729" s="24"/>
      <c r="O729" s="22"/>
    </row>
    <row collapsed="false" customFormat="false" customHeight="false" hidden="false" ht="12.1" outlineLevel="0" r="730">
      <c r="A730" s="21" t="n">
        <v>45631.500243056</v>
      </c>
      <c r="B730" s="22" t="s">
        <v>1063</v>
      </c>
      <c r="C730" s="22" t="s">
        <v>1264</v>
      </c>
      <c r="D730" s="22" t="s">
        <v>1063</v>
      </c>
      <c r="E730" s="22" t="s">
        <v>1063</v>
      </c>
      <c r="F730" s="22" t="s">
        <v>19</v>
      </c>
      <c r="G730" s="23" t="n">
        <v>1</v>
      </c>
      <c r="H730" s="24" t="n">
        <v>1</v>
      </c>
      <c r="I730" s="24" t="n">
        <v>68.13</v>
      </c>
      <c r="J730" s="24" t="n">
        <v>0</v>
      </c>
      <c r="K730" s="24" t="n">
        <v>0</v>
      </c>
      <c r="L730" s="24" t="n">
        <v>0</v>
      </c>
      <c r="M730" s="6" t="s">
        <f>=I730+J730+K730+L730</f>
      </c>
      <c r="N730" s="24"/>
      <c r="O730" s="22"/>
    </row>
    <row collapsed="false" customFormat="false" customHeight="false" hidden="false" ht="12.1" outlineLevel="0" r="731">
      <c r="A731" s="21" t="n">
        <v>45631.577962963</v>
      </c>
      <c r="B731" s="22" t="s">
        <v>1063</v>
      </c>
      <c r="C731" s="22" t="s">
        <v>1265</v>
      </c>
      <c r="D731" s="22" t="s">
        <v>1063</v>
      </c>
      <c r="E731" s="22" t="s">
        <v>1063</v>
      </c>
      <c r="F731" s="22" t="s">
        <v>19</v>
      </c>
      <c r="G731" s="23" t="n">
        <v>1</v>
      </c>
      <c r="H731" s="24" t="n">
        <v>1</v>
      </c>
      <c r="I731" s="24" t="n">
        <v>56.84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4"/>
      <c r="O731" s="22"/>
    </row>
    <row collapsed="false" customFormat="false" customHeight="false" hidden="false" ht="12.1" outlineLevel="0" r="732">
      <c r="A732" s="21" t="n">
        <v>45631.628101852</v>
      </c>
      <c r="B732" s="22" t="s">
        <v>1063</v>
      </c>
      <c r="C732" s="22" t="s">
        <v>1149</v>
      </c>
      <c r="D732" s="22" t="s">
        <v>1063</v>
      </c>
      <c r="E732" s="22" t="s">
        <v>1063</v>
      </c>
      <c r="F732" s="22" t="s">
        <v>19</v>
      </c>
      <c r="G732" s="23" t="n">
        <v>1</v>
      </c>
      <c r="H732" s="24" t="n">
        <v>1</v>
      </c>
      <c r="I732" s="24" t="n">
        <v>65.32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4"/>
      <c r="O732" s="22"/>
    </row>
    <row collapsed="false" customFormat="false" customHeight="false" hidden="false" ht="12.1" outlineLevel="0" r="733">
      <c r="A733" s="21" t="n">
        <v>45631.684201389</v>
      </c>
      <c r="B733" s="22" t="s">
        <v>1063</v>
      </c>
      <c r="C733" s="22" t="s">
        <v>1266</v>
      </c>
      <c r="D733" s="22" t="s">
        <v>1063</v>
      </c>
      <c r="E733" s="22" t="s">
        <v>1063</v>
      </c>
      <c r="F733" s="22" t="s">
        <v>19</v>
      </c>
      <c r="G733" s="23" t="n">
        <v>1</v>
      </c>
      <c r="H733" s="24" t="n">
        <v>1</v>
      </c>
      <c r="I733" s="24" t="n">
        <v>19.55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4"/>
      <c r="O733" s="22"/>
    </row>
    <row collapsed="false" customFormat="false" customHeight="false" hidden="false" ht="12.1" outlineLevel="0" r="734">
      <c r="A734" s="21" t="n">
        <v>45631.688402778</v>
      </c>
      <c r="B734" s="22" t="s">
        <v>1063</v>
      </c>
      <c r="C734" s="22" t="s">
        <v>1106</v>
      </c>
      <c r="D734" s="22" t="s">
        <v>1063</v>
      </c>
      <c r="E734" s="22" t="s">
        <v>1063</v>
      </c>
      <c r="F734" s="22" t="s">
        <v>19</v>
      </c>
      <c r="G734" s="23" t="n">
        <v>1</v>
      </c>
      <c r="H734" s="24" t="n">
        <v>1</v>
      </c>
      <c r="I734" s="24" t="n">
        <v>19.87</v>
      </c>
      <c r="J734" s="24" t="n">
        <v>0</v>
      </c>
      <c r="K734" s="24" t="n">
        <v>0</v>
      </c>
      <c r="L734" s="24" t="n">
        <v>0</v>
      </c>
      <c r="M734" s="6" t="s">
        <f>=I734+J734+K734+L734</f>
      </c>
      <c r="N734" s="24"/>
      <c r="O734" s="22"/>
    </row>
    <row collapsed="false" customFormat="false" customHeight="false" hidden="false" ht="12.1" outlineLevel="0" r="735">
      <c r="A735" s="21" t="n">
        <v>45632.781006944</v>
      </c>
      <c r="B735" s="22" t="s">
        <v>1073</v>
      </c>
      <c r="C735" s="22" t="s">
        <v>1205</v>
      </c>
      <c r="D735" s="22" t="s">
        <v>1073</v>
      </c>
      <c r="E735" s="22" t="s">
        <v>1073</v>
      </c>
      <c r="F735" s="22" t="s">
        <v>19</v>
      </c>
      <c r="G735" s="23" t="n">
        <v>1</v>
      </c>
      <c r="H735" s="24" t="n">
        <v>1</v>
      </c>
      <c r="I735" s="24" t="n">
        <v>67</v>
      </c>
      <c r="J735" s="24" t="n">
        <v>0</v>
      </c>
      <c r="K735" s="24" t="n">
        <v>0</v>
      </c>
      <c r="L735" s="24" t="n">
        <v>0</v>
      </c>
      <c r="M735" s="6" t="s">
        <f>=I735+J735+K735+L735</f>
      </c>
      <c r="N735" s="24"/>
      <c r="O735" s="22"/>
    </row>
    <row collapsed="false" customFormat="false" customHeight="false" hidden="false" ht="12.1" outlineLevel="0" r="736">
      <c r="A736" s="21" t="n">
        <v>45632.782233796</v>
      </c>
      <c r="B736" s="22" t="s">
        <v>1063</v>
      </c>
      <c r="C736" s="22" t="s">
        <v>1206</v>
      </c>
      <c r="D736" s="22" t="s">
        <v>1063</v>
      </c>
      <c r="E736" s="22" t="s">
        <v>1063</v>
      </c>
      <c r="F736" s="22" t="s">
        <v>19</v>
      </c>
      <c r="G736" s="23" t="n">
        <v>1</v>
      </c>
      <c r="H736" s="24" t="n">
        <v>1</v>
      </c>
      <c r="I736" s="24" t="n">
        <v>9.8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4"/>
      <c r="O736" s="22"/>
    </row>
    <row collapsed="false" customFormat="false" customHeight="false" hidden="false" ht="12.1" outlineLevel="0" r="737">
      <c r="A737" s="21" t="n">
        <v>45632.794340278</v>
      </c>
      <c r="B737" s="22" t="s">
        <v>1063</v>
      </c>
      <c r="C737" s="22" t="s">
        <v>1267</v>
      </c>
      <c r="D737" s="22" t="s">
        <v>1063</v>
      </c>
      <c r="E737" s="22" t="s">
        <v>1063</v>
      </c>
      <c r="F737" s="22" t="s">
        <v>19</v>
      </c>
      <c r="G737" s="23" t="n">
        <v>1</v>
      </c>
      <c r="H737" s="24" t="n">
        <v>1</v>
      </c>
      <c r="I737" s="24" t="n">
        <v>35.53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4"/>
      <c r="O737" s="22"/>
    </row>
    <row collapsed="false" customFormat="false" customHeight="false" hidden="false" ht="12.1" outlineLevel="0" r="738">
      <c r="A738" s="21" t="n">
        <v>45637.408136574</v>
      </c>
      <c r="B738" s="22" t="s">
        <v>1063</v>
      </c>
      <c r="C738" s="22" t="s">
        <v>1151</v>
      </c>
      <c r="D738" s="22" t="s">
        <v>1063</v>
      </c>
      <c r="E738" s="22" t="s">
        <v>1063</v>
      </c>
      <c r="F738" s="22" t="s">
        <v>19</v>
      </c>
      <c r="G738" s="23" t="n">
        <v>1</v>
      </c>
      <c r="H738" s="24" t="n">
        <v>1</v>
      </c>
      <c r="I738" s="24" t="n">
        <v>30.12</v>
      </c>
      <c r="J738" s="24" t="n">
        <v>0</v>
      </c>
      <c r="K738" s="24" t="n">
        <v>0</v>
      </c>
      <c r="L738" s="24" t="n">
        <v>0</v>
      </c>
      <c r="M738" s="6" t="s">
        <f>=I738+J738+K738+L738</f>
      </c>
      <c r="N738" s="24"/>
      <c r="O738" s="22"/>
    </row>
    <row collapsed="false" customFormat="false" customHeight="false" hidden="false" ht="12.1" outlineLevel="0" r="739">
      <c r="A739" s="21" t="n">
        <v>45637.409386574</v>
      </c>
      <c r="B739" s="22" t="s">
        <v>1073</v>
      </c>
      <c r="C739" s="22" t="s">
        <v>1188</v>
      </c>
      <c r="D739" s="22" t="s">
        <v>1073</v>
      </c>
      <c r="E739" s="22" t="s">
        <v>1073</v>
      </c>
      <c r="F739" s="22" t="s">
        <v>19</v>
      </c>
      <c r="G739" s="23" t="n">
        <v>1</v>
      </c>
      <c r="H739" s="24" t="n">
        <v>1</v>
      </c>
      <c r="I739" s="24" t="n">
        <v>35</v>
      </c>
      <c r="J739" s="24" t="n">
        <v>0</v>
      </c>
      <c r="K739" s="24" t="n">
        <v>0</v>
      </c>
      <c r="L739" s="24" t="n">
        <v>0</v>
      </c>
      <c r="M739" s="6" t="s">
        <f>=I739+J739+K739+L739</f>
      </c>
      <c r="N739" s="24"/>
      <c r="O739" s="22"/>
    </row>
    <row collapsed="false" customFormat="false" customHeight="false" hidden="false" ht="12.1" outlineLevel="0" r="740">
      <c r="A740" s="21" t="n">
        <v>45639.411041667</v>
      </c>
      <c r="B740" s="22" t="s">
        <v>1056</v>
      </c>
      <c r="C740" s="22" t="s">
        <v>350</v>
      </c>
      <c r="D740" s="22" t="s">
        <v>1056</v>
      </c>
      <c r="E740" s="22" t="s">
        <v>1056</v>
      </c>
      <c r="F740" s="22" t="s">
        <v>19</v>
      </c>
      <c r="G740" s="23" t="n">
        <v>1</v>
      </c>
      <c r="H740" s="24" t="n">
        <v>1</v>
      </c>
      <c r="I740" s="24" t="n">
        <v>11200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4"/>
      <c r="O740" s="22"/>
    </row>
    <row collapsed="false" customFormat="false" customHeight="false" hidden="false" ht="12.1" outlineLevel="0" r="741">
      <c r="A741" s="20" t="n">
        <v>45639.534849537</v>
      </c>
      <c r="B741" s="16" t="s">
        <v>16</v>
      </c>
      <c r="C741" s="16" t="s">
        <v>1112</v>
      </c>
      <c r="D741" s="16" t="s">
        <v>912</v>
      </c>
      <c r="E741" s="16" t="s">
        <v>17</v>
      </c>
      <c r="F741" s="16" t="s">
        <v>19</v>
      </c>
      <c r="G741" s="7" t="n">
        <v>20</v>
      </c>
      <c r="H741" s="6" t="n">
        <v>228.29</v>
      </c>
      <c r="I741" s="6" t="n">
        <v>-4565.8</v>
      </c>
      <c r="J741" s="6" t="n">
        <v>0</v>
      </c>
      <c r="K741" s="6" t="n">
        <v>-13.7</v>
      </c>
      <c r="L741" s="6" t="n">
        <v>0</v>
      </c>
      <c r="M741" s="6" t="s">
        <f>=I741+J741+K741+L741</f>
      </c>
      <c r="N741" s="6"/>
      <c r="O741" s="16"/>
    </row>
    <row collapsed="false" customFormat="false" customHeight="false" hidden="false" ht="12.1" outlineLevel="0" r="742">
      <c r="A742" s="20" t="n">
        <v>45639.535277778</v>
      </c>
      <c r="B742" s="16" t="s">
        <v>42</v>
      </c>
      <c r="C742" s="16" t="s">
        <v>1077</v>
      </c>
      <c r="D742" s="16" t="s">
        <v>912</v>
      </c>
      <c r="E742" s="16" t="s">
        <v>17</v>
      </c>
      <c r="F742" s="16" t="s">
        <v>19</v>
      </c>
      <c r="G742" s="7" t="n">
        <v>100</v>
      </c>
      <c r="H742" s="6" t="n">
        <v>3.584</v>
      </c>
      <c r="I742" s="6" t="n">
        <v>-358.4</v>
      </c>
      <c r="J742" s="6" t="n">
        <v>0</v>
      </c>
      <c r="K742" s="6" t="n">
        <v>-1.08</v>
      </c>
      <c r="L742" s="6" t="n">
        <v>0</v>
      </c>
      <c r="M742" s="6" t="s">
        <f>=I742+J742+K742+L742</f>
      </c>
      <c r="N742" s="6"/>
      <c r="O742" s="16"/>
    </row>
    <row collapsed="false" customFormat="false" customHeight="false" hidden="false" ht="12.1" outlineLevel="0" r="743">
      <c r="A743" s="20" t="n">
        <v>45639.535648148</v>
      </c>
      <c r="B743" s="16" t="s">
        <v>59</v>
      </c>
      <c r="C743" s="16" t="s">
        <v>1121</v>
      </c>
      <c r="D743" s="16" t="s">
        <v>912</v>
      </c>
      <c r="E743" s="16" t="s">
        <v>17</v>
      </c>
      <c r="F743" s="16" t="s">
        <v>19</v>
      </c>
      <c r="G743" s="7" t="n">
        <v>10</v>
      </c>
      <c r="H743" s="6" t="n">
        <v>47.71</v>
      </c>
      <c r="I743" s="6" t="n">
        <v>-477.1</v>
      </c>
      <c r="J743" s="6" t="n">
        <v>0</v>
      </c>
      <c r="K743" s="6" t="n">
        <v>-1.43</v>
      </c>
      <c r="L743" s="6" t="n">
        <v>0</v>
      </c>
      <c r="M743" s="6" t="s">
        <f>=I743+J743+K743+L743</f>
      </c>
      <c r="N743" s="6"/>
      <c r="O743" s="16"/>
    </row>
    <row collapsed="false" customFormat="false" customHeight="false" hidden="false" ht="12.1" outlineLevel="0" r="744">
      <c r="A744" s="20" t="n">
        <v>45639.53587963</v>
      </c>
      <c r="B744" s="16" t="s">
        <v>62</v>
      </c>
      <c r="C744" s="16" t="s">
        <v>1134</v>
      </c>
      <c r="D744" s="16" t="s">
        <v>912</v>
      </c>
      <c r="E744" s="16" t="s">
        <v>17</v>
      </c>
      <c r="F744" s="16" t="s">
        <v>19</v>
      </c>
      <c r="G744" s="7" t="n">
        <v>10</v>
      </c>
      <c r="H744" s="6" t="n">
        <v>51.02</v>
      </c>
      <c r="I744" s="6" t="n">
        <v>-510.2</v>
      </c>
      <c r="J744" s="6" t="n">
        <v>0</v>
      </c>
      <c r="K744" s="6" t="n">
        <v>-1.53</v>
      </c>
      <c r="L744" s="6" t="n">
        <v>0</v>
      </c>
      <c r="M744" s="6" t="s">
        <f>=I744+J744+K744+L744</f>
      </c>
      <c r="N744" s="6"/>
      <c r="O744" s="16"/>
    </row>
    <row collapsed="false" customFormat="false" customHeight="false" hidden="false" ht="12.1" outlineLevel="0" r="745">
      <c r="A745" s="20" t="n">
        <v>45639.536493056</v>
      </c>
      <c r="B745" s="16" t="s">
        <v>56</v>
      </c>
      <c r="C745" s="16" t="s">
        <v>1268</v>
      </c>
      <c r="D745" s="16" t="s">
        <v>912</v>
      </c>
      <c r="E745" s="16" t="s">
        <v>17</v>
      </c>
      <c r="F745" s="16" t="s">
        <v>19</v>
      </c>
      <c r="G745" s="7" t="n">
        <v>10</v>
      </c>
      <c r="H745" s="6" t="n">
        <v>306.11</v>
      </c>
      <c r="I745" s="6" t="n">
        <v>-3061.1</v>
      </c>
      <c r="J745" s="6" t="n">
        <v>0</v>
      </c>
      <c r="K745" s="6" t="n">
        <v>-9.18</v>
      </c>
      <c r="L745" s="6" t="n">
        <v>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45639.537106481</v>
      </c>
      <c r="B746" s="16" t="s">
        <v>39</v>
      </c>
      <c r="C746" s="16" t="s">
        <v>1079</v>
      </c>
      <c r="D746" s="16" t="s">
        <v>912</v>
      </c>
      <c r="E746" s="16" t="s">
        <v>17</v>
      </c>
      <c r="F746" s="16" t="s">
        <v>19</v>
      </c>
      <c r="G746" s="7" t="n">
        <v>6</v>
      </c>
      <c r="H746" s="6" t="n">
        <v>561.3</v>
      </c>
      <c r="I746" s="6" t="n">
        <v>-3367.8</v>
      </c>
      <c r="J746" s="6" t="n">
        <v>0</v>
      </c>
      <c r="K746" s="6" t="n">
        <v>-10.1</v>
      </c>
      <c r="L746" s="6" t="n">
        <v>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0" t="n">
        <v>45639.537569444</v>
      </c>
      <c r="B747" s="16" t="s">
        <v>27</v>
      </c>
      <c r="C747" s="16" t="s">
        <v>1269</v>
      </c>
      <c r="D747" s="16" t="s">
        <v>912</v>
      </c>
      <c r="E747" s="16" t="s">
        <v>17</v>
      </c>
      <c r="F747" s="16" t="s">
        <v>19</v>
      </c>
      <c r="G747" s="7" t="n">
        <v>1</v>
      </c>
      <c r="H747" s="6" t="n">
        <v>2289</v>
      </c>
      <c r="I747" s="6" t="n">
        <v>-2289</v>
      </c>
      <c r="J747" s="6" t="n">
        <v>0</v>
      </c>
      <c r="K747" s="6" t="n">
        <v>-6.87</v>
      </c>
      <c r="L747" s="6" t="n">
        <v>0</v>
      </c>
      <c r="M747" s="6" t="s">
        <f>=I747+J747+K747+L747</f>
      </c>
      <c r="N747" s="6"/>
      <c r="O747" s="16"/>
    </row>
    <row collapsed="false" customFormat="false" customHeight="false" hidden="false" ht="12.1" outlineLevel="0" r="748">
      <c r="A748" s="20" t="n">
        <v>45639.542152778</v>
      </c>
      <c r="B748" s="16" t="s">
        <v>39</v>
      </c>
      <c r="C748" s="16" t="s">
        <v>1079</v>
      </c>
      <c r="D748" s="16" t="s">
        <v>912</v>
      </c>
      <c r="E748" s="16" t="s">
        <v>17</v>
      </c>
      <c r="F748" s="16" t="s">
        <v>19</v>
      </c>
      <c r="G748" s="7" t="n">
        <v>1</v>
      </c>
      <c r="H748" s="6" t="n">
        <v>562.1</v>
      </c>
      <c r="I748" s="6" t="n">
        <v>-562.1</v>
      </c>
      <c r="J748" s="6" t="n">
        <v>0</v>
      </c>
      <c r="K748" s="6" t="n">
        <v>-1.69</v>
      </c>
      <c r="L748" s="6" t="n">
        <v>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1" t="n">
        <v>45643.579560185</v>
      </c>
      <c r="B749" s="22" t="s">
        <v>1063</v>
      </c>
      <c r="C749" s="22" t="s">
        <v>1270</v>
      </c>
      <c r="D749" s="22" t="s">
        <v>1063</v>
      </c>
      <c r="E749" s="22" t="s">
        <v>1063</v>
      </c>
      <c r="F749" s="22" t="s">
        <v>19</v>
      </c>
      <c r="G749" s="23" t="n">
        <v>21</v>
      </c>
      <c r="H749" s="24" t="n">
        <v>3.131</v>
      </c>
      <c r="I749" s="24" t="n">
        <v>1301.75</v>
      </c>
      <c r="J749" s="24" t="n">
        <v>0</v>
      </c>
      <c r="K749" s="24" t="n">
        <v>0</v>
      </c>
      <c r="L749" s="24" t="n">
        <v>0</v>
      </c>
      <c r="M749" s="6" t="s">
        <f>=I749+J749+K749+L749</f>
      </c>
      <c r="N749" s="24"/>
      <c r="O749" s="22"/>
    </row>
    <row collapsed="false" customFormat="false" customHeight="false" hidden="false" ht="12.1" outlineLevel="0" r="750">
      <c r="A750" s="25" t="n">
        <v>45643.579560185</v>
      </c>
      <c r="B750" s="26" t="s">
        <v>1089</v>
      </c>
      <c r="C750" s="26" t="s">
        <v>1271</v>
      </c>
      <c r="D750" s="26" t="s">
        <v>1089</v>
      </c>
      <c r="E750" s="26" t="s">
        <v>1089</v>
      </c>
      <c r="F750" s="26" t="s">
        <v>19</v>
      </c>
      <c r="G750" s="27" t="n">
        <v>1</v>
      </c>
      <c r="H750" s="28" t="n">
        <v>-169</v>
      </c>
      <c r="I750" s="28" t="n">
        <v>-169</v>
      </c>
      <c r="J750" s="28" t="n">
        <v>0</v>
      </c>
      <c r="K750" s="28" t="n">
        <v>0</v>
      </c>
      <c r="L750" s="28" t="n">
        <v>0</v>
      </c>
      <c r="M750" s="6" t="s">
        <f>=I750+J750+K750+L750</f>
      </c>
      <c r="N750" s="28"/>
      <c r="O750" s="26"/>
    </row>
    <row collapsed="false" customFormat="false" customHeight="false" hidden="false" ht="12.1" outlineLevel="0" r="751">
      <c r="A751" s="21" t="n">
        <v>45645.392060185</v>
      </c>
      <c r="B751" s="22" t="s">
        <v>1063</v>
      </c>
      <c r="C751" s="22" t="s">
        <v>1113</v>
      </c>
      <c r="D751" s="22" t="s">
        <v>1063</v>
      </c>
      <c r="E751" s="22" t="s">
        <v>1063</v>
      </c>
      <c r="F751" s="22" t="s">
        <v>19</v>
      </c>
      <c r="G751" s="23" t="n">
        <v>1</v>
      </c>
      <c r="H751" s="24" t="n">
        <v>1</v>
      </c>
      <c r="I751" s="24" t="n">
        <v>863.1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4"/>
      <c r="O751" s="22"/>
    </row>
    <row collapsed="false" customFormat="false" customHeight="false" hidden="false" ht="12.1" outlineLevel="0" r="752">
      <c r="A752" s="21" t="n">
        <v>45651.411793981</v>
      </c>
      <c r="B752" s="22" t="s">
        <v>1063</v>
      </c>
      <c r="C752" s="22" t="s">
        <v>1176</v>
      </c>
      <c r="D752" s="22" t="s">
        <v>1063</v>
      </c>
      <c r="E752" s="22" t="s">
        <v>1063</v>
      </c>
      <c r="F752" s="22" t="s">
        <v>19</v>
      </c>
      <c r="G752" s="23" t="n">
        <v>1</v>
      </c>
      <c r="H752" s="24" t="n">
        <v>1</v>
      </c>
      <c r="I752" s="24" t="n">
        <v>7.85</v>
      </c>
      <c r="J752" s="24" t="n">
        <v>0</v>
      </c>
      <c r="K752" s="24" t="n">
        <v>0</v>
      </c>
      <c r="L752" s="24" t="n">
        <v>0</v>
      </c>
      <c r="M752" s="6" t="s">
        <f>=I752+J752+K752+L752</f>
      </c>
      <c r="N752" s="24"/>
      <c r="O752" s="22"/>
    </row>
    <row collapsed="false" customFormat="false" customHeight="false" hidden="false" ht="12.1" outlineLevel="0" r="753">
      <c r="A753" s="21" t="n">
        <v>45651.414351852</v>
      </c>
      <c r="B753" s="22" t="s">
        <v>1073</v>
      </c>
      <c r="C753" s="22" t="s">
        <v>1175</v>
      </c>
      <c r="D753" s="22" t="s">
        <v>1073</v>
      </c>
      <c r="E753" s="22" t="s">
        <v>1073</v>
      </c>
      <c r="F753" s="22" t="s">
        <v>19</v>
      </c>
      <c r="G753" s="23" t="n">
        <v>1</v>
      </c>
      <c r="H753" s="24" t="n">
        <v>1</v>
      </c>
      <c r="I753" s="24" t="n">
        <v>150</v>
      </c>
      <c r="J753" s="24" t="n">
        <v>0</v>
      </c>
      <c r="K753" s="24" t="n">
        <v>0</v>
      </c>
      <c r="L753" s="24" t="n">
        <v>0</v>
      </c>
      <c r="M753" s="6" t="s">
        <f>=I753+J753+K753+L753</f>
      </c>
      <c r="N753" s="24"/>
      <c r="O753" s="22"/>
    </row>
    <row collapsed="false" customFormat="false" customHeight="false" hidden="false" ht="12.1" outlineLevel="0" r="754">
      <c r="A754" s="21" t="n">
        <v>45651.784016204</v>
      </c>
      <c r="B754" s="22" t="s">
        <v>1063</v>
      </c>
      <c r="C754" s="22" t="s">
        <v>1251</v>
      </c>
      <c r="D754" s="22" t="s">
        <v>1063</v>
      </c>
      <c r="E754" s="22" t="s">
        <v>1063</v>
      </c>
      <c r="F754" s="22" t="s">
        <v>19</v>
      </c>
      <c r="G754" s="23" t="n">
        <v>1</v>
      </c>
      <c r="H754" s="24" t="n">
        <v>1</v>
      </c>
      <c r="I754" s="24" t="n">
        <v>11.18</v>
      </c>
      <c r="J754" s="24" t="n">
        <v>0</v>
      </c>
      <c r="K754" s="24" t="n">
        <v>0</v>
      </c>
      <c r="L754" s="24" t="n">
        <v>0</v>
      </c>
      <c r="M754" s="6" t="s">
        <f>=I754+J754+K754+L754</f>
      </c>
      <c r="N754" s="24"/>
      <c r="O754" s="22"/>
    </row>
    <row collapsed="false" customFormat="false" customHeight="false" hidden="false" ht="12.1" outlineLevel="0" r="755">
      <c r="A755" s="21" t="n">
        <v>45653.502962963</v>
      </c>
      <c r="B755" s="22" t="s">
        <v>1063</v>
      </c>
      <c r="C755" s="22" t="s">
        <v>1207</v>
      </c>
      <c r="D755" s="22" t="s">
        <v>1063</v>
      </c>
      <c r="E755" s="22" t="s">
        <v>1063</v>
      </c>
      <c r="F755" s="22" t="s">
        <v>19</v>
      </c>
      <c r="G755" s="23" t="n">
        <v>1</v>
      </c>
      <c r="H755" s="24" t="n">
        <v>1</v>
      </c>
      <c r="I755" s="24" t="n">
        <v>18.06</v>
      </c>
      <c r="J755" s="24" t="n">
        <v>0</v>
      </c>
      <c r="K755" s="24" t="n">
        <v>0</v>
      </c>
      <c r="L755" s="24" t="n">
        <v>0</v>
      </c>
      <c r="M755" s="6" t="s">
        <f>=I755+J755+K755+L755</f>
      </c>
      <c r="N755" s="24"/>
      <c r="O755" s="22"/>
    </row>
    <row collapsed="false" customFormat="false" customHeight="false" hidden="false" ht="12.1" outlineLevel="0" r="756">
      <c r="A756" s="21" t="n">
        <v>45653.650925926</v>
      </c>
      <c r="B756" s="22" t="s">
        <v>1063</v>
      </c>
      <c r="C756" s="22" t="s">
        <v>1235</v>
      </c>
      <c r="D756" s="22" t="s">
        <v>1063</v>
      </c>
      <c r="E756" s="22" t="s">
        <v>1063</v>
      </c>
      <c r="F756" s="22" t="s">
        <v>19</v>
      </c>
      <c r="G756" s="23" t="n">
        <v>1</v>
      </c>
      <c r="H756" s="24" t="n">
        <v>1</v>
      </c>
      <c r="I756" s="24" t="n">
        <v>36.32</v>
      </c>
      <c r="J756" s="24" t="n">
        <v>0</v>
      </c>
      <c r="K756" s="24" t="n">
        <v>0</v>
      </c>
      <c r="L756" s="24" t="n">
        <v>0</v>
      </c>
      <c r="M756" s="6" t="s">
        <f>=I756+J756+K756+L756</f>
      </c>
      <c r="N756" s="24"/>
      <c r="O756" s="22"/>
    </row>
    <row collapsed="false" customFormat="false" customHeight="false" hidden="false" ht="12.1" outlineLevel="0" r="757">
      <c r="A757" s="21" t="n">
        <v>45654.652268519</v>
      </c>
      <c r="B757" s="22" t="s">
        <v>1063</v>
      </c>
      <c r="C757" s="22" t="s">
        <v>1191</v>
      </c>
      <c r="D757" s="22" t="s">
        <v>1063</v>
      </c>
      <c r="E757" s="22" t="s">
        <v>1063</v>
      </c>
      <c r="F757" s="22" t="s">
        <v>19</v>
      </c>
      <c r="G757" s="23" t="n">
        <v>1</v>
      </c>
      <c r="H757" s="24" t="n">
        <v>1</v>
      </c>
      <c r="I757" s="24" t="n">
        <v>52.66</v>
      </c>
      <c r="J757" s="24" t="n">
        <v>0</v>
      </c>
      <c r="K757" s="24" t="n">
        <v>0</v>
      </c>
      <c r="L757" s="24" t="n">
        <v>0</v>
      </c>
      <c r="M757" s="6" t="s">
        <f>=I757+J757+K757+L757</f>
      </c>
      <c r="N757" s="24"/>
      <c r="O757" s="22"/>
    </row>
    <row collapsed="false" customFormat="false" customHeight="false" hidden="false" ht="12.1" outlineLevel="0" r="758">
      <c r="A758" s="21" t="n">
        <v>45656.469571759</v>
      </c>
      <c r="B758" s="22" t="s">
        <v>1073</v>
      </c>
      <c r="C758" s="22" t="s">
        <v>1227</v>
      </c>
      <c r="D758" s="22" t="s">
        <v>1073</v>
      </c>
      <c r="E758" s="22" t="s">
        <v>1073</v>
      </c>
      <c r="F758" s="22" t="s">
        <v>19</v>
      </c>
      <c r="G758" s="23" t="n">
        <v>1</v>
      </c>
      <c r="H758" s="24" t="n">
        <v>1</v>
      </c>
      <c r="I758" s="24" t="n">
        <v>200</v>
      </c>
      <c r="J758" s="24" t="n">
        <v>0</v>
      </c>
      <c r="K758" s="24" t="n">
        <v>0</v>
      </c>
      <c r="L758" s="24" t="n">
        <v>0</v>
      </c>
      <c r="M758" s="6" t="s">
        <f>=I758+J758+K758+L758</f>
      </c>
      <c r="N758" s="24"/>
      <c r="O758" s="22"/>
    </row>
    <row collapsed="false" customFormat="false" customHeight="false" hidden="false" ht="12.1" outlineLevel="0" r="759">
      <c r="A759" s="21" t="n">
        <v>45666.602303241</v>
      </c>
      <c r="B759" s="22" t="s">
        <v>1063</v>
      </c>
      <c r="C759" s="22" t="s">
        <v>1174</v>
      </c>
      <c r="D759" s="22" t="s">
        <v>1063</v>
      </c>
      <c r="E759" s="22" t="s">
        <v>1063</v>
      </c>
      <c r="F759" s="22" t="s">
        <v>19</v>
      </c>
      <c r="G759" s="23" t="n">
        <v>1</v>
      </c>
      <c r="H759" s="24" t="n">
        <v>1</v>
      </c>
      <c r="I759" s="24" t="n">
        <v>36.78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4"/>
      <c r="O759" s="22"/>
    </row>
    <row collapsed="false" customFormat="false" customHeight="false" hidden="false" ht="12.1" outlineLevel="0" r="760">
      <c r="A760" s="21" t="n">
        <v>45667.841736111</v>
      </c>
      <c r="B760" s="22" t="s">
        <v>1063</v>
      </c>
      <c r="C760" s="22" t="s">
        <v>1072</v>
      </c>
      <c r="D760" s="22" t="s">
        <v>1063</v>
      </c>
      <c r="E760" s="22" t="s">
        <v>1063</v>
      </c>
      <c r="F760" s="22" t="s">
        <v>19</v>
      </c>
      <c r="G760" s="23" t="n">
        <v>1</v>
      </c>
      <c r="H760" s="24" t="n">
        <v>1</v>
      </c>
      <c r="I760" s="24" t="n">
        <v>6.98</v>
      </c>
      <c r="J760" s="24" t="n">
        <v>0</v>
      </c>
      <c r="K760" s="24" t="n">
        <v>0</v>
      </c>
      <c r="L760" s="24" t="n">
        <v>0</v>
      </c>
      <c r="M760" s="6" t="s">
        <f>=I760+J760+K760+L760</f>
      </c>
      <c r="N760" s="24"/>
      <c r="O760" s="22"/>
    </row>
    <row collapsed="false" customFormat="false" customHeight="false" hidden="false" ht="12.1" outlineLevel="0" r="761">
      <c r="A761" s="21" t="n">
        <v>45670.441712963</v>
      </c>
      <c r="B761" s="22" t="s">
        <v>1056</v>
      </c>
      <c r="C761" s="22" t="s">
        <v>350</v>
      </c>
      <c r="D761" s="22" t="s">
        <v>1056</v>
      </c>
      <c r="E761" s="22" t="s">
        <v>1056</v>
      </c>
      <c r="F761" s="22" t="s">
        <v>19</v>
      </c>
      <c r="G761" s="23" t="n">
        <v>1</v>
      </c>
      <c r="H761" s="24" t="n">
        <v>1</v>
      </c>
      <c r="I761" s="24" t="n">
        <v>10600</v>
      </c>
      <c r="J761" s="24" t="n">
        <v>0</v>
      </c>
      <c r="K761" s="24" t="n">
        <v>0</v>
      </c>
      <c r="L761" s="24" t="n">
        <v>0</v>
      </c>
      <c r="M761" s="6" t="s">
        <f>=I761+J761+K761+L761</f>
      </c>
      <c r="N761" s="24"/>
      <c r="O761" s="22"/>
    </row>
    <row collapsed="false" customFormat="false" customHeight="false" hidden="false" ht="12.1" outlineLevel="0" r="762">
      <c r="A762" s="20" t="n">
        <v>45670.512893519</v>
      </c>
      <c r="B762" s="16" t="s">
        <v>151</v>
      </c>
      <c r="C762" s="16" t="s">
        <v>1272</v>
      </c>
      <c r="D762" s="16" t="s">
        <v>912</v>
      </c>
      <c r="E762" s="16" t="s">
        <v>85</v>
      </c>
      <c r="F762" s="16" t="s">
        <v>19</v>
      </c>
      <c r="G762" s="7" t="n">
        <v>1</v>
      </c>
      <c r="H762" s="6" t="n">
        <v>77.34</v>
      </c>
      <c r="I762" s="6" t="n">
        <v>-773.4</v>
      </c>
      <c r="J762" s="6" t="n">
        <v>-54.25</v>
      </c>
      <c r="K762" s="6" t="n">
        <v>-2.32</v>
      </c>
      <c r="L762" s="6" t="n">
        <v>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0" t="n">
        <v>45670.51380787</v>
      </c>
      <c r="B763" s="16" t="s">
        <v>172</v>
      </c>
      <c r="C763" s="16" t="s">
        <v>1243</v>
      </c>
      <c r="D763" s="16" t="s">
        <v>912</v>
      </c>
      <c r="E763" s="16" t="s">
        <v>85</v>
      </c>
      <c r="F763" s="16" t="s">
        <v>19</v>
      </c>
      <c r="G763" s="7" t="n">
        <v>1</v>
      </c>
      <c r="H763" s="6" t="n">
        <v>79.32</v>
      </c>
      <c r="I763" s="6" t="n">
        <v>-793.2</v>
      </c>
      <c r="J763" s="6" t="n">
        <v>-13.42</v>
      </c>
      <c r="K763" s="6" t="n">
        <v>-2.38</v>
      </c>
      <c r="L763" s="6" t="n">
        <v>0</v>
      </c>
      <c r="M763" s="6" t="s">
        <f>=I763+J763+K763+L763</f>
      </c>
      <c r="N763" s="6"/>
      <c r="O763" s="16"/>
    </row>
    <row collapsed="false" customFormat="false" customHeight="false" hidden="false" ht="12.1" outlineLevel="0" r="764">
      <c r="A764" s="20" t="n">
        <v>45670.514421296</v>
      </c>
      <c r="B764" s="16" t="s">
        <v>160</v>
      </c>
      <c r="C764" s="16" t="s">
        <v>1244</v>
      </c>
      <c r="D764" s="16" t="s">
        <v>912</v>
      </c>
      <c r="E764" s="16" t="s">
        <v>85</v>
      </c>
      <c r="F764" s="16" t="s">
        <v>19</v>
      </c>
      <c r="G764" s="7" t="n">
        <v>1</v>
      </c>
      <c r="H764" s="6" t="n">
        <v>84</v>
      </c>
      <c r="I764" s="6" t="n">
        <v>-840</v>
      </c>
      <c r="J764" s="6" t="n">
        <v>-43.02</v>
      </c>
      <c r="K764" s="6" t="n">
        <v>-2.52</v>
      </c>
      <c r="L764" s="6" t="n">
        <v>0</v>
      </c>
      <c r="M764" s="6" t="s">
        <f>=I764+J764+K764+L764</f>
      </c>
      <c r="N764" s="6"/>
      <c r="O764" s="16"/>
    </row>
    <row collapsed="false" customFormat="false" customHeight="false" hidden="false" ht="12.1" outlineLevel="0" r="765">
      <c r="A765" s="20" t="n">
        <v>45670.515428241</v>
      </c>
      <c r="B765" s="16" t="s">
        <v>223</v>
      </c>
      <c r="C765" s="16" t="s">
        <v>1273</v>
      </c>
      <c r="D765" s="16" t="s">
        <v>912</v>
      </c>
      <c r="E765" s="16" t="s">
        <v>85</v>
      </c>
      <c r="F765" s="16" t="s">
        <v>19</v>
      </c>
      <c r="G765" s="7" t="n">
        <v>1</v>
      </c>
      <c r="H765" s="6" t="n">
        <v>78.07</v>
      </c>
      <c r="I765" s="6" t="n">
        <v>-780.7</v>
      </c>
      <c r="J765" s="6" t="n">
        <v>-16.7</v>
      </c>
      <c r="K765" s="6" t="n">
        <v>-2.34</v>
      </c>
      <c r="L765" s="6" t="n">
        <v>0</v>
      </c>
      <c r="M765" s="6" t="s">
        <f>=I765+J765+K765+L765</f>
      </c>
      <c r="N765" s="6"/>
      <c r="O765" s="16"/>
    </row>
    <row collapsed="false" customFormat="false" customHeight="false" hidden="false" ht="12.1" outlineLevel="0" r="766">
      <c r="A766" s="20" t="n">
        <v>45670.515810185</v>
      </c>
      <c r="B766" s="16" t="s">
        <v>229</v>
      </c>
      <c r="C766" s="16" t="s">
        <v>1274</v>
      </c>
      <c r="D766" s="16" t="s">
        <v>912</v>
      </c>
      <c r="E766" s="16" t="s">
        <v>85</v>
      </c>
      <c r="F766" s="16" t="s">
        <v>19</v>
      </c>
      <c r="G766" s="7" t="n">
        <v>1</v>
      </c>
      <c r="H766" s="6" t="n">
        <v>70.05</v>
      </c>
      <c r="I766" s="6" t="n">
        <v>-700.5</v>
      </c>
      <c r="J766" s="6" t="n">
        <v>-6.27</v>
      </c>
      <c r="K766" s="6" t="n">
        <v>-2.1</v>
      </c>
      <c r="L766" s="6" t="n">
        <v>0</v>
      </c>
      <c r="M766" s="6" t="s">
        <f>=I766+J766+K766+L766</f>
      </c>
      <c r="N766" s="6"/>
      <c r="O766" s="16"/>
    </row>
    <row collapsed="false" customFormat="false" customHeight="false" hidden="false" ht="12.1" outlineLevel="0" r="767">
      <c r="A767" s="20" t="n">
        <v>45670.516446759</v>
      </c>
      <c r="B767" s="16" t="s">
        <v>220</v>
      </c>
      <c r="C767" s="16" t="s">
        <v>1275</v>
      </c>
      <c r="D767" s="16" t="s">
        <v>912</v>
      </c>
      <c r="E767" s="16" t="s">
        <v>85</v>
      </c>
      <c r="F767" s="16" t="s">
        <v>19</v>
      </c>
      <c r="G767" s="7" t="n">
        <v>1</v>
      </c>
      <c r="H767" s="6" t="n">
        <v>82.93</v>
      </c>
      <c r="I767" s="6" t="n">
        <v>-829.3</v>
      </c>
      <c r="J767" s="6" t="n">
        <v>-28.17</v>
      </c>
      <c r="K767" s="6" t="n">
        <v>-2.49</v>
      </c>
      <c r="L767" s="6" t="n">
        <v>0</v>
      </c>
      <c r="M767" s="6" t="s">
        <f>=I767+J767+K767+L767</f>
      </c>
      <c r="N767" s="6"/>
      <c r="O767" s="16"/>
    </row>
    <row collapsed="false" customFormat="false" customHeight="false" hidden="false" ht="12.1" outlineLevel="0" r="768">
      <c r="A768" s="20" t="n">
        <v>45670.516840278</v>
      </c>
      <c r="B768" s="16" t="s">
        <v>175</v>
      </c>
      <c r="C768" s="16" t="s">
        <v>1276</v>
      </c>
      <c r="D768" s="16" t="s">
        <v>912</v>
      </c>
      <c r="E768" s="16" t="s">
        <v>85</v>
      </c>
      <c r="F768" s="16" t="s">
        <v>19</v>
      </c>
      <c r="G768" s="7" t="n">
        <v>1</v>
      </c>
      <c r="H768" s="6" t="n">
        <v>83.18</v>
      </c>
      <c r="I768" s="6" t="n">
        <v>-831.8</v>
      </c>
      <c r="J768" s="6" t="n">
        <v>-35.51</v>
      </c>
      <c r="K768" s="6" t="n">
        <v>-2.5</v>
      </c>
      <c r="L768" s="6" t="n">
        <v>0</v>
      </c>
      <c r="M768" s="6" t="s">
        <f>=I768+J768+K768+L768</f>
      </c>
      <c r="N768" s="6"/>
      <c r="O768" s="16"/>
    </row>
    <row collapsed="false" customFormat="false" customHeight="false" hidden="false" ht="12.1" outlineLevel="0" r="769">
      <c r="A769" s="20" t="n">
        <v>45670.517696759</v>
      </c>
      <c r="B769" s="16" t="s">
        <v>326</v>
      </c>
      <c r="C769" s="16" t="s">
        <v>1277</v>
      </c>
      <c r="D769" s="16" t="s">
        <v>912</v>
      </c>
      <c r="E769" s="16" t="s">
        <v>85</v>
      </c>
      <c r="F769" s="16" t="s">
        <v>19</v>
      </c>
      <c r="G769" s="7" t="n">
        <v>1</v>
      </c>
      <c r="H769" s="6" t="n">
        <v>93.93</v>
      </c>
      <c r="I769" s="6" t="n">
        <v>-939.3</v>
      </c>
      <c r="J769" s="6" t="n">
        <v>-1.97</v>
      </c>
      <c r="K769" s="6" t="n">
        <v>-2.82</v>
      </c>
      <c r="L769" s="6" t="n">
        <v>0</v>
      </c>
      <c r="M769" s="6" t="s">
        <f>=I769+J769+K769+L769</f>
      </c>
      <c r="N769" s="6"/>
      <c r="O769" s="16"/>
    </row>
    <row collapsed="false" customFormat="false" customHeight="false" hidden="false" ht="12.1" outlineLevel="0" r="770">
      <c r="A770" s="20" t="n">
        <v>45670.518194444</v>
      </c>
      <c r="B770" s="16" t="s">
        <v>151</v>
      </c>
      <c r="C770" s="16" t="s">
        <v>1272</v>
      </c>
      <c r="D770" s="16" t="s">
        <v>912</v>
      </c>
      <c r="E770" s="16" t="s">
        <v>85</v>
      </c>
      <c r="F770" s="16" t="s">
        <v>19</v>
      </c>
      <c r="G770" s="7" t="n">
        <v>1</v>
      </c>
      <c r="H770" s="6" t="n">
        <v>77.37</v>
      </c>
      <c r="I770" s="6" t="n">
        <v>-773.7</v>
      </c>
      <c r="J770" s="6" t="n">
        <v>-54.25</v>
      </c>
      <c r="K770" s="6" t="n">
        <v>-2.32</v>
      </c>
      <c r="L770" s="6" t="n">
        <v>0</v>
      </c>
      <c r="M770" s="6" t="s">
        <f>=I770+J770+K770+L770</f>
      </c>
      <c r="N770" s="6"/>
      <c r="O770" s="16"/>
    </row>
    <row collapsed="false" customFormat="false" customHeight="false" hidden="false" ht="12.1" outlineLevel="0" r="771">
      <c r="A771" s="20" t="n">
        <v>45670.518356481</v>
      </c>
      <c r="B771" s="16" t="s">
        <v>172</v>
      </c>
      <c r="C771" s="16" t="s">
        <v>1243</v>
      </c>
      <c r="D771" s="16" t="s">
        <v>912</v>
      </c>
      <c r="E771" s="16" t="s">
        <v>85</v>
      </c>
      <c r="F771" s="16" t="s">
        <v>19</v>
      </c>
      <c r="G771" s="7" t="n">
        <v>1</v>
      </c>
      <c r="H771" s="6" t="n">
        <v>79.31</v>
      </c>
      <c r="I771" s="6" t="n">
        <v>-793.1</v>
      </c>
      <c r="J771" s="6" t="n">
        <v>-13.42</v>
      </c>
      <c r="K771" s="6" t="n">
        <v>-2.38</v>
      </c>
      <c r="L771" s="6" t="n">
        <v>0</v>
      </c>
      <c r="M771" s="6" t="s">
        <f>=I771+J771+K771+L771</f>
      </c>
      <c r="N771" s="6"/>
      <c r="O771" s="16"/>
    </row>
    <row collapsed="false" customFormat="false" customHeight="false" hidden="false" ht="12.1" outlineLevel="0" r="772">
      <c r="A772" s="20" t="n">
        <v>45670.518472222</v>
      </c>
      <c r="B772" s="16" t="s">
        <v>160</v>
      </c>
      <c r="C772" s="16" t="s">
        <v>1244</v>
      </c>
      <c r="D772" s="16" t="s">
        <v>912</v>
      </c>
      <c r="E772" s="16" t="s">
        <v>85</v>
      </c>
      <c r="F772" s="16" t="s">
        <v>19</v>
      </c>
      <c r="G772" s="7" t="n">
        <v>1</v>
      </c>
      <c r="H772" s="6" t="n">
        <v>84</v>
      </c>
      <c r="I772" s="6" t="n">
        <v>-840</v>
      </c>
      <c r="J772" s="6" t="n">
        <v>-43.02</v>
      </c>
      <c r="K772" s="6" t="n">
        <v>-2.52</v>
      </c>
      <c r="L772" s="6" t="n">
        <v>0</v>
      </c>
      <c r="M772" s="6" t="s">
        <f>=I772+J772+K772+L772</f>
      </c>
      <c r="N772" s="6"/>
      <c r="O772" s="16"/>
    </row>
    <row collapsed="false" customFormat="false" customHeight="false" hidden="false" ht="12.1" outlineLevel="0" r="773">
      <c r="A773" s="20" t="n">
        <v>45670.518599537</v>
      </c>
      <c r="B773" s="16" t="s">
        <v>223</v>
      </c>
      <c r="C773" s="16" t="s">
        <v>1273</v>
      </c>
      <c r="D773" s="16" t="s">
        <v>912</v>
      </c>
      <c r="E773" s="16" t="s">
        <v>85</v>
      </c>
      <c r="F773" s="16" t="s">
        <v>19</v>
      </c>
      <c r="G773" s="7" t="n">
        <v>1</v>
      </c>
      <c r="H773" s="6" t="n">
        <v>78.06</v>
      </c>
      <c r="I773" s="6" t="n">
        <v>-780.6</v>
      </c>
      <c r="J773" s="6" t="n">
        <v>-16.7</v>
      </c>
      <c r="K773" s="6" t="n">
        <v>-2.34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45670.518726852</v>
      </c>
      <c r="B774" s="16" t="s">
        <v>229</v>
      </c>
      <c r="C774" s="16" t="s">
        <v>1274</v>
      </c>
      <c r="D774" s="16" t="s">
        <v>912</v>
      </c>
      <c r="E774" s="16" t="s">
        <v>85</v>
      </c>
      <c r="F774" s="16" t="s">
        <v>19</v>
      </c>
      <c r="G774" s="7" t="n">
        <v>1</v>
      </c>
      <c r="H774" s="6" t="n">
        <v>70.06</v>
      </c>
      <c r="I774" s="6" t="n">
        <v>-700.6</v>
      </c>
      <c r="J774" s="6" t="n">
        <v>-6.27</v>
      </c>
      <c r="K774" s="6" t="n">
        <v>-2.1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45670.519351852</v>
      </c>
      <c r="B775" s="16" t="s">
        <v>220</v>
      </c>
      <c r="C775" s="16" t="s">
        <v>1275</v>
      </c>
      <c r="D775" s="16" t="s">
        <v>912</v>
      </c>
      <c r="E775" s="16" t="s">
        <v>85</v>
      </c>
      <c r="F775" s="16" t="s">
        <v>19</v>
      </c>
      <c r="G775" s="7" t="n">
        <v>1</v>
      </c>
      <c r="H775" s="6" t="n">
        <v>83</v>
      </c>
      <c r="I775" s="6" t="n">
        <v>-830</v>
      </c>
      <c r="J775" s="6" t="n">
        <v>-28.17</v>
      </c>
      <c r="K775" s="6" t="n">
        <v>-2.49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0" t="n">
        <v>45670.519479167</v>
      </c>
      <c r="B776" s="16" t="s">
        <v>175</v>
      </c>
      <c r="C776" s="16" t="s">
        <v>1276</v>
      </c>
      <c r="D776" s="16" t="s">
        <v>912</v>
      </c>
      <c r="E776" s="16" t="s">
        <v>85</v>
      </c>
      <c r="F776" s="16" t="s">
        <v>19</v>
      </c>
      <c r="G776" s="7" t="n">
        <v>1</v>
      </c>
      <c r="H776" s="6" t="n">
        <v>83.19</v>
      </c>
      <c r="I776" s="6" t="n">
        <v>-831.9</v>
      </c>
      <c r="J776" s="6" t="n">
        <v>-35.51</v>
      </c>
      <c r="K776" s="6" t="n">
        <v>-2.5</v>
      </c>
      <c r="L776" s="6" t="n">
        <v>0</v>
      </c>
      <c r="M776" s="6" t="s">
        <f>=I776+J776+K776+L776</f>
      </c>
      <c r="N776" s="6"/>
      <c r="O776" s="16"/>
    </row>
    <row collapsed="false" customFormat="false" customHeight="false" hidden="false" ht="12.1" outlineLevel="0" r="777">
      <c r="A777" s="20" t="n">
        <v>45670.519826389</v>
      </c>
      <c r="B777" s="16" t="s">
        <v>151</v>
      </c>
      <c r="C777" s="16" t="s">
        <v>1272</v>
      </c>
      <c r="D777" s="16" t="s">
        <v>912</v>
      </c>
      <c r="E777" s="16" t="s">
        <v>85</v>
      </c>
      <c r="F777" s="16" t="s">
        <v>19</v>
      </c>
      <c r="G777" s="7" t="n">
        <v>1</v>
      </c>
      <c r="H777" s="6" t="n">
        <v>77.34</v>
      </c>
      <c r="I777" s="6" t="n">
        <v>-773.4</v>
      </c>
      <c r="J777" s="6" t="n">
        <v>-54.25</v>
      </c>
      <c r="K777" s="6" t="n">
        <v>-2.32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1" t="n">
        <v>45672.738252315</v>
      </c>
      <c r="B778" s="22" t="s">
        <v>1063</v>
      </c>
      <c r="C778" s="22" t="s">
        <v>1256</v>
      </c>
      <c r="D778" s="22" t="s">
        <v>1063</v>
      </c>
      <c r="E778" s="22" t="s">
        <v>1063</v>
      </c>
      <c r="F778" s="22" t="s">
        <v>19</v>
      </c>
      <c r="G778" s="23" t="n">
        <v>1</v>
      </c>
      <c r="H778" s="24" t="n">
        <v>1</v>
      </c>
      <c r="I778" s="24" t="n">
        <v>26.18</v>
      </c>
      <c r="J778" s="24" t="n">
        <v>0</v>
      </c>
      <c r="K778" s="24" t="n">
        <v>0</v>
      </c>
      <c r="L778" s="24" t="n">
        <v>0</v>
      </c>
      <c r="M778" s="6" t="s">
        <f>=I778+J778+K778+L778</f>
      </c>
      <c r="N778" s="24"/>
      <c r="O778" s="22"/>
    </row>
    <row collapsed="false" customFormat="false" customHeight="false" hidden="false" ht="12.1" outlineLevel="0" r="779">
      <c r="A779" s="21" t="n">
        <v>45674.388263889</v>
      </c>
      <c r="B779" s="22" t="s">
        <v>1063</v>
      </c>
      <c r="C779" s="22" t="s">
        <v>1194</v>
      </c>
      <c r="D779" s="22" t="s">
        <v>1063</v>
      </c>
      <c r="E779" s="22" t="s">
        <v>1063</v>
      </c>
      <c r="F779" s="22" t="s">
        <v>19</v>
      </c>
      <c r="G779" s="23" t="n">
        <v>1</v>
      </c>
      <c r="H779" s="24" t="n">
        <v>1</v>
      </c>
      <c r="I779" s="24" t="n">
        <v>44.88</v>
      </c>
      <c r="J779" s="24" t="n">
        <v>0</v>
      </c>
      <c r="K779" s="24" t="n">
        <v>0</v>
      </c>
      <c r="L779" s="24" t="n">
        <v>0</v>
      </c>
      <c r="M779" s="6" t="s">
        <f>=I779+J779+K779+L779</f>
      </c>
      <c r="N779" s="24"/>
      <c r="O779" s="22"/>
    </row>
    <row collapsed="false" customFormat="false" customHeight="false" hidden="false" ht="12.1" outlineLevel="0" r="780">
      <c r="A780" s="21" t="n">
        <v>45677.790868056</v>
      </c>
      <c r="B780" s="22" t="s">
        <v>1063</v>
      </c>
      <c r="C780" s="22" t="s">
        <v>1278</v>
      </c>
      <c r="D780" s="22" t="s">
        <v>1063</v>
      </c>
      <c r="E780" s="22" t="s">
        <v>1063</v>
      </c>
      <c r="F780" s="22" t="s">
        <v>19</v>
      </c>
      <c r="G780" s="23" t="n">
        <v>1</v>
      </c>
      <c r="H780" s="24" t="n">
        <v>1</v>
      </c>
      <c r="I780" s="24" t="n">
        <v>54.35</v>
      </c>
      <c r="J780" s="24" t="n">
        <v>0</v>
      </c>
      <c r="K780" s="24" t="n">
        <v>0</v>
      </c>
      <c r="L780" s="24" t="n">
        <v>0</v>
      </c>
      <c r="M780" s="6" t="s">
        <f>=I780+J780+K780+L780</f>
      </c>
      <c r="N780" s="24"/>
      <c r="O780" s="22"/>
    </row>
    <row collapsed="false" customFormat="false" customHeight="false" hidden="false" ht="12.1" outlineLevel="0" r="781">
      <c r="A781" s="21" t="n">
        <v>45679.567824074</v>
      </c>
      <c r="B781" s="22" t="s">
        <v>1073</v>
      </c>
      <c r="C781" s="22" t="s">
        <v>1279</v>
      </c>
      <c r="D781" s="22" t="s">
        <v>1073</v>
      </c>
      <c r="E781" s="22" t="s">
        <v>1073</v>
      </c>
      <c r="F781" s="22" t="s">
        <v>19</v>
      </c>
      <c r="G781" s="23" t="n">
        <v>1</v>
      </c>
      <c r="H781" s="24" t="n">
        <v>1</v>
      </c>
      <c r="I781" s="24" t="n">
        <v>165</v>
      </c>
      <c r="J781" s="24" t="n">
        <v>0</v>
      </c>
      <c r="K781" s="24" t="n">
        <v>0</v>
      </c>
      <c r="L781" s="24" t="n">
        <v>0</v>
      </c>
      <c r="M781" s="6" t="s">
        <f>=I781+J781+K781+L781</f>
      </c>
      <c r="N781" s="24"/>
      <c r="O781" s="22"/>
    </row>
    <row collapsed="false" customFormat="false" customHeight="false" hidden="false" ht="12.1" outlineLevel="0" r="782">
      <c r="A782" s="21" t="n">
        <v>45679.581539352</v>
      </c>
      <c r="B782" s="22" t="s">
        <v>1063</v>
      </c>
      <c r="C782" s="22" t="s">
        <v>1195</v>
      </c>
      <c r="D782" s="22" t="s">
        <v>1063</v>
      </c>
      <c r="E782" s="22" t="s">
        <v>1063</v>
      </c>
      <c r="F782" s="22" t="s">
        <v>19</v>
      </c>
      <c r="G782" s="23" t="n">
        <v>1</v>
      </c>
      <c r="H782" s="24" t="n">
        <v>1</v>
      </c>
      <c r="I782" s="24" t="n">
        <v>34.28</v>
      </c>
      <c r="J782" s="24" t="n">
        <v>0</v>
      </c>
      <c r="K782" s="24" t="n">
        <v>0</v>
      </c>
      <c r="L782" s="24" t="n">
        <v>0</v>
      </c>
      <c r="M782" s="6" t="s">
        <f>=I782+J782+K782+L782</f>
      </c>
      <c r="N782" s="24"/>
      <c r="O782" s="22"/>
    </row>
    <row collapsed="false" customFormat="false" customHeight="false" hidden="false" ht="12.1" outlineLevel="0" r="783">
      <c r="A783" s="21" t="n">
        <v>45680.485185185</v>
      </c>
      <c r="B783" s="22" t="s">
        <v>1063</v>
      </c>
      <c r="C783" s="22" t="s">
        <v>1160</v>
      </c>
      <c r="D783" s="22" t="s">
        <v>1063</v>
      </c>
      <c r="E783" s="22" t="s">
        <v>1063</v>
      </c>
      <c r="F783" s="22" t="s">
        <v>19</v>
      </c>
      <c r="G783" s="23" t="n">
        <v>1</v>
      </c>
      <c r="H783" s="24" t="n">
        <v>1</v>
      </c>
      <c r="I783" s="24" t="n">
        <v>43.38</v>
      </c>
      <c r="J783" s="24" t="n">
        <v>0</v>
      </c>
      <c r="K783" s="24" t="n">
        <v>0</v>
      </c>
      <c r="L783" s="24" t="n">
        <v>0</v>
      </c>
      <c r="M783" s="6" t="s">
        <f>=I783+J783+K783+L783</f>
      </c>
      <c r="N783" s="24"/>
      <c r="O783" s="22"/>
    </row>
    <row collapsed="false" customFormat="false" customHeight="false" hidden="false" ht="12.1" outlineLevel="0" r="784">
      <c r="A784" s="21" t="n">
        <v>45680.691851852</v>
      </c>
      <c r="B784" s="22" t="s">
        <v>1063</v>
      </c>
      <c r="C784" s="22" t="s">
        <v>1180</v>
      </c>
      <c r="D784" s="22" t="s">
        <v>1063</v>
      </c>
      <c r="E784" s="22" t="s">
        <v>1063</v>
      </c>
      <c r="F784" s="22" t="s">
        <v>19</v>
      </c>
      <c r="G784" s="23" t="n">
        <v>1</v>
      </c>
      <c r="H784" s="24" t="n">
        <v>1</v>
      </c>
      <c r="I784" s="24" t="n">
        <v>55.05</v>
      </c>
      <c r="J784" s="24" t="n">
        <v>0</v>
      </c>
      <c r="K784" s="24" t="n">
        <v>0</v>
      </c>
      <c r="L784" s="24" t="n">
        <v>0</v>
      </c>
      <c r="M784" s="6" t="s">
        <f>=I784+J784+K784+L784</f>
      </c>
      <c r="N784" s="24"/>
      <c r="O784" s="22"/>
    </row>
    <row collapsed="false" customFormat="false" customHeight="false" hidden="false" ht="12.1" outlineLevel="0" r="785">
      <c r="A785" s="21" t="n">
        <v>45680.762280093</v>
      </c>
      <c r="B785" s="22" t="s">
        <v>1063</v>
      </c>
      <c r="C785" s="22" t="s">
        <v>1280</v>
      </c>
      <c r="D785" s="22" t="s">
        <v>1063</v>
      </c>
      <c r="E785" s="22" t="s">
        <v>1063</v>
      </c>
      <c r="F785" s="22" t="s">
        <v>19</v>
      </c>
      <c r="G785" s="23" t="n">
        <v>1</v>
      </c>
      <c r="H785" s="24" t="n">
        <v>1</v>
      </c>
      <c r="I785" s="24" t="n">
        <v>156.51</v>
      </c>
      <c r="J785" s="24" t="n">
        <v>0</v>
      </c>
      <c r="K785" s="24" t="n">
        <v>0</v>
      </c>
      <c r="L785" s="24" t="n">
        <v>0</v>
      </c>
      <c r="M785" s="6" t="s">
        <f>=I785+J785+K785+L785</f>
      </c>
      <c r="N785" s="24"/>
      <c r="O785" s="22"/>
    </row>
    <row collapsed="false" customFormat="false" customHeight="false" hidden="false" ht="12.1" outlineLevel="0" r="786">
      <c r="A786" s="25" t="n">
        <v>45680.762280093</v>
      </c>
      <c r="B786" s="26" t="s">
        <v>1089</v>
      </c>
      <c r="C786" s="26" t="s">
        <v>1281</v>
      </c>
      <c r="D786" s="26" t="s">
        <v>1089</v>
      </c>
      <c r="E786" s="26" t="s">
        <v>1089</v>
      </c>
      <c r="F786" s="26" t="s">
        <v>19</v>
      </c>
      <c r="G786" s="27" t="n">
        <v>1</v>
      </c>
      <c r="H786" s="28" t="n">
        <v>-20</v>
      </c>
      <c r="I786" s="28" t="n">
        <v>-20</v>
      </c>
      <c r="J786" s="28" t="n">
        <v>0</v>
      </c>
      <c r="K786" s="28" t="n">
        <v>0</v>
      </c>
      <c r="L786" s="28" t="n">
        <v>0</v>
      </c>
      <c r="M786" s="6" t="s">
        <f>=I786+J786+K786+L786</f>
      </c>
      <c r="N786" s="28"/>
      <c r="O786" s="26"/>
    </row>
    <row collapsed="false" customFormat="false" customHeight="false" hidden="false" ht="12.1" outlineLevel="0" r="787">
      <c r="A787" s="21" t="n">
        <v>45681.534733796</v>
      </c>
      <c r="B787" s="22" t="s">
        <v>1063</v>
      </c>
      <c r="C787" s="22" t="s">
        <v>1251</v>
      </c>
      <c r="D787" s="22" t="s">
        <v>1063</v>
      </c>
      <c r="E787" s="22" t="s">
        <v>1063</v>
      </c>
      <c r="F787" s="22" t="s">
        <v>19</v>
      </c>
      <c r="G787" s="23" t="n">
        <v>1</v>
      </c>
      <c r="H787" s="24" t="n">
        <v>1</v>
      </c>
      <c r="I787" s="24" t="n">
        <v>11.18</v>
      </c>
      <c r="J787" s="24" t="n">
        <v>0</v>
      </c>
      <c r="K787" s="24" t="n">
        <v>0</v>
      </c>
      <c r="L787" s="24" t="n">
        <v>0</v>
      </c>
      <c r="M787" s="6" t="s">
        <f>=I787+J787+K787+L787</f>
      </c>
      <c r="N787" s="24"/>
      <c r="O787" s="22"/>
    </row>
    <row collapsed="false" customFormat="false" customHeight="false" hidden="false" ht="12.1" outlineLevel="0" r="788">
      <c r="A788" s="21" t="n">
        <v>45685.664814815</v>
      </c>
      <c r="B788" s="22" t="s">
        <v>1063</v>
      </c>
      <c r="C788" s="22" t="s">
        <v>1207</v>
      </c>
      <c r="D788" s="22" t="s">
        <v>1063</v>
      </c>
      <c r="E788" s="22" t="s">
        <v>1063</v>
      </c>
      <c r="F788" s="22" t="s">
        <v>19</v>
      </c>
      <c r="G788" s="23" t="n">
        <v>1</v>
      </c>
      <c r="H788" s="24" t="n">
        <v>1</v>
      </c>
      <c r="I788" s="24" t="n">
        <v>18.98</v>
      </c>
      <c r="J788" s="24" t="n">
        <v>0</v>
      </c>
      <c r="K788" s="24" t="n">
        <v>0</v>
      </c>
      <c r="L788" s="24" t="n">
        <v>0</v>
      </c>
      <c r="M788" s="6" t="s">
        <f>=I788+J788+K788+L788</f>
      </c>
      <c r="N788" s="24"/>
      <c r="O788" s="22"/>
    </row>
    <row collapsed="false" customFormat="false" customHeight="false" hidden="false" ht="12.1" outlineLevel="0" r="789">
      <c r="A789" s="21" t="n">
        <v>45685.672835648</v>
      </c>
      <c r="B789" s="22" t="s">
        <v>1063</v>
      </c>
      <c r="C789" s="22" t="s">
        <v>1235</v>
      </c>
      <c r="D789" s="22" t="s">
        <v>1063</v>
      </c>
      <c r="E789" s="22" t="s">
        <v>1063</v>
      </c>
      <c r="F789" s="22" t="s">
        <v>19</v>
      </c>
      <c r="G789" s="23" t="n">
        <v>1</v>
      </c>
      <c r="H789" s="24" t="n">
        <v>1</v>
      </c>
      <c r="I789" s="24" t="n">
        <v>36.32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4"/>
      <c r="O789" s="22"/>
    </row>
    <row collapsed="false" customFormat="false" customHeight="false" hidden="false" ht="12.1" outlineLevel="0" r="790">
      <c r="A790" s="21" t="n">
        <v>45686.567013889</v>
      </c>
      <c r="B790" s="22" t="s">
        <v>1063</v>
      </c>
      <c r="C790" s="22" t="s">
        <v>1174</v>
      </c>
      <c r="D790" s="22" t="s">
        <v>1063</v>
      </c>
      <c r="E790" s="22" t="s">
        <v>1063</v>
      </c>
      <c r="F790" s="22" t="s">
        <v>19</v>
      </c>
      <c r="G790" s="23" t="n">
        <v>1</v>
      </c>
      <c r="H790" s="24" t="n">
        <v>1</v>
      </c>
      <c r="I790" s="24" t="n">
        <v>38.4</v>
      </c>
      <c r="J790" s="24" t="n">
        <v>0</v>
      </c>
      <c r="K790" s="24" t="n">
        <v>0</v>
      </c>
      <c r="L790" s="24" t="n">
        <v>0</v>
      </c>
      <c r="M790" s="6" t="s">
        <f>=I790+J790+K790+L790</f>
      </c>
      <c r="N790" s="24"/>
      <c r="O790" s="22"/>
    </row>
    <row collapsed="false" customFormat="false" customHeight="false" hidden="false" ht="12.1" outlineLevel="0" r="791">
      <c r="A791" s="21" t="n">
        <v>45686.601666667</v>
      </c>
      <c r="B791" s="22" t="s">
        <v>1063</v>
      </c>
      <c r="C791" s="22" t="s">
        <v>1236</v>
      </c>
      <c r="D791" s="22" t="s">
        <v>1063</v>
      </c>
      <c r="E791" s="22" t="s">
        <v>1063</v>
      </c>
      <c r="F791" s="22" t="s">
        <v>19</v>
      </c>
      <c r="G791" s="23" t="n">
        <v>1</v>
      </c>
      <c r="H791" s="24" t="n">
        <v>1</v>
      </c>
      <c r="I791" s="24" t="n">
        <v>58.34</v>
      </c>
      <c r="J791" s="24" t="n">
        <v>0</v>
      </c>
      <c r="K791" s="24" t="n">
        <v>0</v>
      </c>
      <c r="L791" s="24" t="n">
        <v>0</v>
      </c>
      <c r="M791" s="6" t="s">
        <f>=I791+J791+K791+L791</f>
      </c>
      <c r="N791" s="24"/>
      <c r="O791" s="22"/>
    </row>
    <row collapsed="false" customFormat="false" customHeight="false" hidden="false" ht="12.1" outlineLevel="0" r="792">
      <c r="A792" s="21" t="n">
        <v>45686.633912037</v>
      </c>
      <c r="B792" s="22" t="s">
        <v>1063</v>
      </c>
      <c r="C792" s="22" t="s">
        <v>1117</v>
      </c>
      <c r="D792" s="22" t="s">
        <v>1063</v>
      </c>
      <c r="E792" s="22" t="s">
        <v>1063</v>
      </c>
      <c r="F792" s="22" t="s">
        <v>19</v>
      </c>
      <c r="G792" s="23" t="n">
        <v>1</v>
      </c>
      <c r="H792" s="24" t="n">
        <v>1</v>
      </c>
      <c r="I792" s="24" t="n">
        <v>28.22</v>
      </c>
      <c r="J792" s="24" t="n">
        <v>0</v>
      </c>
      <c r="K792" s="24" t="n">
        <v>0</v>
      </c>
      <c r="L792" s="24" t="n">
        <v>0</v>
      </c>
      <c r="M792" s="6" t="s">
        <f>=I792+J792+K792+L792</f>
      </c>
      <c r="N792" s="24"/>
      <c r="O792" s="22"/>
    </row>
    <row collapsed="false" customFormat="false" customHeight="false" hidden="false" ht="12.1" outlineLevel="0" r="793">
      <c r="A793" s="21" t="n">
        <v>45686.880185185</v>
      </c>
      <c r="B793" s="22" t="s">
        <v>1063</v>
      </c>
      <c r="C793" s="22" t="s">
        <v>1118</v>
      </c>
      <c r="D793" s="22" t="s">
        <v>1063</v>
      </c>
      <c r="E793" s="22" t="s">
        <v>1063</v>
      </c>
      <c r="F793" s="22" t="s">
        <v>19</v>
      </c>
      <c r="G793" s="23" t="n">
        <v>1</v>
      </c>
      <c r="H793" s="24" t="n">
        <v>1</v>
      </c>
      <c r="I793" s="24" t="n">
        <v>84.72</v>
      </c>
      <c r="J793" s="24" t="n">
        <v>0</v>
      </c>
      <c r="K793" s="24" t="n">
        <v>0</v>
      </c>
      <c r="L793" s="24" t="n">
        <v>0</v>
      </c>
      <c r="M793" s="6" t="s">
        <f>=I793+J793+K793+L793</f>
      </c>
      <c r="N793" s="24"/>
      <c r="O793" s="22"/>
    </row>
    <row collapsed="false" customFormat="false" customHeight="false" hidden="false" ht="12.1" outlineLevel="0" r="794">
      <c r="A794" s="21" t="n">
        <v>45686.890578704</v>
      </c>
      <c r="B794" s="22" t="s">
        <v>1073</v>
      </c>
      <c r="C794" s="22" t="s">
        <v>1282</v>
      </c>
      <c r="D794" s="22" t="s">
        <v>1073</v>
      </c>
      <c r="E794" s="22" t="s">
        <v>1073</v>
      </c>
      <c r="F794" s="22" t="s">
        <v>19</v>
      </c>
      <c r="G794" s="23" t="n">
        <v>1</v>
      </c>
      <c r="H794" s="24" t="n">
        <v>1</v>
      </c>
      <c r="I794" s="24" t="n">
        <v>1000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4"/>
      <c r="O794" s="22"/>
    </row>
    <row collapsed="false" customFormat="false" customHeight="false" hidden="false" ht="12.1" outlineLevel="0" r="795">
      <c r="A795" s="21" t="n">
        <v>45687.637233796</v>
      </c>
      <c r="B795" s="22" t="s">
        <v>1063</v>
      </c>
      <c r="C795" s="22" t="s">
        <v>1081</v>
      </c>
      <c r="D795" s="22" t="s">
        <v>1063</v>
      </c>
      <c r="E795" s="22" t="s">
        <v>1063</v>
      </c>
      <c r="F795" s="22" t="s">
        <v>19</v>
      </c>
      <c r="G795" s="23" t="n">
        <v>1</v>
      </c>
      <c r="H795" s="24" t="n">
        <v>1</v>
      </c>
      <c r="I795" s="24" t="n">
        <v>912.6</v>
      </c>
      <c r="J795" s="24" t="n">
        <v>0</v>
      </c>
      <c r="K795" s="24" t="n">
        <v>0</v>
      </c>
      <c r="L795" s="24" t="n">
        <v>0</v>
      </c>
      <c r="M795" s="6" t="s">
        <f>=I795+J795+K795+L795</f>
      </c>
      <c r="N795" s="24"/>
      <c r="O795" s="22"/>
    </row>
    <row collapsed="false" customFormat="false" customHeight="false" hidden="false" ht="12.1" outlineLevel="0" r="796">
      <c r="A796" s="21" t="n">
        <v>45687.645590278</v>
      </c>
      <c r="B796" s="22" t="s">
        <v>1063</v>
      </c>
      <c r="C796" s="22" t="s">
        <v>1237</v>
      </c>
      <c r="D796" s="22" t="s">
        <v>1063</v>
      </c>
      <c r="E796" s="22" t="s">
        <v>1063</v>
      </c>
      <c r="F796" s="22" t="s">
        <v>19</v>
      </c>
      <c r="G796" s="23" t="n">
        <v>1</v>
      </c>
      <c r="H796" s="24" t="n">
        <v>1</v>
      </c>
      <c r="I796" s="24" t="n">
        <v>137.64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4"/>
      <c r="O796" s="22"/>
    </row>
    <row collapsed="false" customFormat="false" customHeight="false" hidden="false" ht="12.1" outlineLevel="0" r="797">
      <c r="A797" s="21" t="n">
        <v>45687.658078704</v>
      </c>
      <c r="B797" s="22" t="s">
        <v>1063</v>
      </c>
      <c r="C797" s="22" t="s">
        <v>1181</v>
      </c>
      <c r="D797" s="22" t="s">
        <v>1063</v>
      </c>
      <c r="E797" s="22" t="s">
        <v>1063</v>
      </c>
      <c r="F797" s="22" t="s">
        <v>19</v>
      </c>
      <c r="G797" s="23" t="n">
        <v>1</v>
      </c>
      <c r="H797" s="24" t="n">
        <v>1</v>
      </c>
      <c r="I797" s="24" t="n">
        <v>51.52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4"/>
      <c r="O797" s="22"/>
    </row>
    <row collapsed="false" customFormat="false" customHeight="false" hidden="false" ht="12.1" outlineLevel="0" r="798">
      <c r="A798" s="21" t="n">
        <v>45691.474548611</v>
      </c>
      <c r="B798" s="22" t="s">
        <v>1063</v>
      </c>
      <c r="C798" s="22" t="s">
        <v>1283</v>
      </c>
      <c r="D798" s="22" t="s">
        <v>1063</v>
      </c>
      <c r="E798" s="22" t="s">
        <v>1063</v>
      </c>
      <c r="F798" s="22" t="s">
        <v>19</v>
      </c>
      <c r="G798" s="23" t="n">
        <v>1</v>
      </c>
      <c r="H798" s="24" t="n">
        <v>1</v>
      </c>
      <c r="I798" s="24" t="n">
        <v>179.52</v>
      </c>
      <c r="J798" s="24" t="n">
        <v>0</v>
      </c>
      <c r="K798" s="24" t="n">
        <v>0</v>
      </c>
      <c r="L798" s="24" t="n">
        <v>0</v>
      </c>
      <c r="M798" s="6" t="s">
        <f>=I798+J798+K798+L798</f>
      </c>
      <c r="N798" s="24"/>
      <c r="O798" s="22"/>
    </row>
    <row collapsed="false" customFormat="false" customHeight="false" hidden="false" ht="12.1" outlineLevel="0" r="799">
      <c r="A799" s="21" t="n">
        <v>45691.51619213</v>
      </c>
      <c r="B799" s="22" t="s">
        <v>1063</v>
      </c>
      <c r="C799" s="22" t="s">
        <v>1258</v>
      </c>
      <c r="D799" s="22" t="s">
        <v>1063</v>
      </c>
      <c r="E799" s="22" t="s">
        <v>1063</v>
      </c>
      <c r="F799" s="22" t="s">
        <v>19</v>
      </c>
      <c r="G799" s="23" t="n">
        <v>1</v>
      </c>
      <c r="H799" s="24" t="n">
        <v>1</v>
      </c>
      <c r="I799" s="24" t="n">
        <v>23.86</v>
      </c>
      <c r="J799" s="24" t="n">
        <v>0</v>
      </c>
      <c r="K799" s="24" t="n">
        <v>0</v>
      </c>
      <c r="L799" s="24" t="n">
        <v>0</v>
      </c>
      <c r="M799" s="6" t="s">
        <f>=I799+J799+K799+L799</f>
      </c>
      <c r="N799" s="24"/>
      <c r="O799" s="22"/>
    </row>
    <row collapsed="false" customFormat="false" customHeight="false" hidden="false" ht="12.1" outlineLevel="0" r="800">
      <c r="A800" s="21" t="n">
        <v>45692.530613426</v>
      </c>
      <c r="B800" s="22" t="s">
        <v>1063</v>
      </c>
      <c r="C800" s="22" t="s">
        <v>1119</v>
      </c>
      <c r="D800" s="22" t="s">
        <v>1063</v>
      </c>
      <c r="E800" s="22" t="s">
        <v>1063</v>
      </c>
      <c r="F800" s="22" t="s">
        <v>19</v>
      </c>
      <c r="G800" s="23" t="n">
        <v>1</v>
      </c>
      <c r="H800" s="24" t="n">
        <v>1</v>
      </c>
      <c r="I800" s="24" t="n">
        <v>53.1</v>
      </c>
      <c r="J800" s="24" t="n">
        <v>0</v>
      </c>
      <c r="K800" s="24" t="n">
        <v>0</v>
      </c>
      <c r="L800" s="24" t="n">
        <v>0</v>
      </c>
      <c r="M800" s="6" t="s">
        <f>=I800+J800+K800+L800</f>
      </c>
      <c r="N800" s="24"/>
      <c r="O800" s="22"/>
    </row>
    <row collapsed="false" customFormat="false" customHeight="false" hidden="false" ht="12.1" outlineLevel="0" r="801">
      <c r="A801" s="21" t="n">
        <v>45694.514039352</v>
      </c>
      <c r="B801" s="22" t="s">
        <v>1063</v>
      </c>
      <c r="C801" s="22" t="s">
        <v>1238</v>
      </c>
      <c r="D801" s="22" t="s">
        <v>1063</v>
      </c>
      <c r="E801" s="22" t="s">
        <v>1063</v>
      </c>
      <c r="F801" s="22" t="s">
        <v>19</v>
      </c>
      <c r="G801" s="23" t="n">
        <v>1</v>
      </c>
      <c r="H801" s="24" t="n">
        <v>1</v>
      </c>
      <c r="I801" s="24" t="n">
        <v>39.16</v>
      </c>
      <c r="J801" s="24" t="n">
        <v>0</v>
      </c>
      <c r="K801" s="24" t="n">
        <v>0</v>
      </c>
      <c r="L801" s="24" t="n">
        <v>0</v>
      </c>
      <c r="M801" s="6" t="s">
        <f>=I801+J801+K801+L801</f>
      </c>
      <c r="N801" s="24"/>
      <c r="O801" s="22"/>
    </row>
    <row collapsed="false" customFormat="false" customHeight="false" hidden="false" ht="12.1" outlineLevel="0" r="802">
      <c r="A802" s="21" t="n">
        <v>45700.732604167</v>
      </c>
      <c r="B802" s="22" t="s">
        <v>1063</v>
      </c>
      <c r="C802" s="22" t="s">
        <v>1214</v>
      </c>
      <c r="D802" s="22" t="s">
        <v>1063</v>
      </c>
      <c r="E802" s="22" t="s">
        <v>1063</v>
      </c>
      <c r="F802" s="22" t="s">
        <v>19</v>
      </c>
      <c r="G802" s="23" t="n">
        <v>1</v>
      </c>
      <c r="H802" s="24" t="n">
        <v>1</v>
      </c>
      <c r="I802" s="24" t="n">
        <v>4.67</v>
      </c>
      <c r="J802" s="24" t="n">
        <v>0</v>
      </c>
      <c r="K802" s="24" t="n">
        <v>0</v>
      </c>
      <c r="L802" s="24" t="n">
        <v>0</v>
      </c>
      <c r="M802" s="6" t="s">
        <f>=I802+J802+K802+L802</f>
      </c>
      <c r="N802" s="24"/>
      <c r="O802" s="22"/>
    </row>
    <row collapsed="false" customFormat="false" customHeight="false" hidden="false" ht="12.1" outlineLevel="0" r="803">
      <c r="A803" s="21" t="n">
        <v>45701.437581019</v>
      </c>
      <c r="B803" s="22" t="s">
        <v>1063</v>
      </c>
      <c r="C803" s="22" t="s">
        <v>1120</v>
      </c>
      <c r="D803" s="22" t="s">
        <v>1063</v>
      </c>
      <c r="E803" s="22" t="s">
        <v>1063</v>
      </c>
      <c r="F803" s="22" t="s">
        <v>19</v>
      </c>
      <c r="G803" s="23" t="n">
        <v>1</v>
      </c>
      <c r="H803" s="24" t="n">
        <v>1</v>
      </c>
      <c r="I803" s="24" t="n">
        <v>628.2</v>
      </c>
      <c r="J803" s="24" t="n">
        <v>0</v>
      </c>
      <c r="K803" s="24" t="n">
        <v>0</v>
      </c>
      <c r="L803" s="24" t="n">
        <v>0</v>
      </c>
      <c r="M803" s="6" t="s">
        <f>=I803+J803+K803+L803</f>
      </c>
      <c r="N803" s="24"/>
      <c r="O803" s="22"/>
    </row>
    <row collapsed="false" customFormat="false" customHeight="false" hidden="false" ht="12.1" outlineLevel="0" r="804">
      <c r="A804" s="21" t="n">
        <v>45702.447835648</v>
      </c>
      <c r="B804" s="22" t="s">
        <v>1056</v>
      </c>
      <c r="C804" s="22" t="s">
        <v>350</v>
      </c>
      <c r="D804" s="22" t="s">
        <v>1056</v>
      </c>
      <c r="E804" s="22" t="s">
        <v>1056</v>
      </c>
      <c r="F804" s="22" t="s">
        <v>19</v>
      </c>
      <c r="G804" s="23" t="n">
        <v>1</v>
      </c>
      <c r="H804" s="24" t="n">
        <v>1</v>
      </c>
      <c r="I804" s="24" t="n">
        <v>11200</v>
      </c>
      <c r="J804" s="24" t="n">
        <v>0</v>
      </c>
      <c r="K804" s="24" t="n">
        <v>0</v>
      </c>
      <c r="L804" s="24" t="n">
        <v>0</v>
      </c>
      <c r="M804" s="6" t="s">
        <f>=I804+J804+K804+L804</f>
      </c>
      <c r="N804" s="24"/>
      <c r="O804" s="22"/>
    </row>
    <row collapsed="false" customFormat="false" customHeight="false" hidden="false" ht="12.1" outlineLevel="0" r="805">
      <c r="A805" s="20" t="n">
        <v>45702.455590278</v>
      </c>
      <c r="B805" s="16" t="s">
        <v>88</v>
      </c>
      <c r="C805" s="16" t="s">
        <v>1069</v>
      </c>
      <c r="D805" s="16" t="s">
        <v>912</v>
      </c>
      <c r="E805" s="16" t="s">
        <v>85</v>
      </c>
      <c r="F805" s="16" t="s">
        <v>19</v>
      </c>
      <c r="G805" s="7" t="n">
        <v>1</v>
      </c>
      <c r="H805" s="6" t="n">
        <v>104</v>
      </c>
      <c r="I805" s="6" t="n">
        <v>-1040</v>
      </c>
      <c r="J805" s="6" t="n">
        <v>-33.29</v>
      </c>
      <c r="K805" s="6" t="n">
        <v>-3.12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45702.455798611</v>
      </c>
      <c r="B806" s="16" t="s">
        <v>109</v>
      </c>
      <c r="C806" s="16" t="s">
        <v>1067</v>
      </c>
      <c r="D806" s="16" t="s">
        <v>912</v>
      </c>
      <c r="E806" s="16" t="s">
        <v>85</v>
      </c>
      <c r="F806" s="16" t="s">
        <v>19</v>
      </c>
      <c r="G806" s="7" t="n">
        <v>1</v>
      </c>
      <c r="H806" s="6" t="n">
        <v>103.796</v>
      </c>
      <c r="I806" s="6" t="n">
        <v>-1037.96</v>
      </c>
      <c r="J806" s="6" t="n">
        <v>-49.58</v>
      </c>
      <c r="K806" s="6" t="n">
        <v>-3.11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0" t="n">
        <v>45702.456122685</v>
      </c>
      <c r="B807" s="16" t="s">
        <v>100</v>
      </c>
      <c r="C807" s="16" t="s">
        <v>1253</v>
      </c>
      <c r="D807" s="16" t="s">
        <v>912</v>
      </c>
      <c r="E807" s="16" t="s">
        <v>85</v>
      </c>
      <c r="F807" s="16" t="s">
        <v>19</v>
      </c>
      <c r="G807" s="7" t="n">
        <v>1</v>
      </c>
      <c r="H807" s="6" t="n">
        <v>82.88</v>
      </c>
      <c r="I807" s="6" t="n">
        <v>-828.8</v>
      </c>
      <c r="J807" s="6" t="n">
        <v>-25.17</v>
      </c>
      <c r="K807" s="6" t="n">
        <v>-2.49</v>
      </c>
      <c r="L807" s="6" t="n">
        <v>0</v>
      </c>
      <c r="M807" s="6" t="s">
        <f>=I807+J807+K807+L807</f>
      </c>
      <c r="N807" s="6"/>
      <c r="O807" s="16"/>
    </row>
    <row collapsed="false" customFormat="false" customHeight="false" hidden="false" ht="12.1" outlineLevel="0" r="808">
      <c r="A808" s="20" t="n">
        <v>45702.456400463</v>
      </c>
      <c r="B808" s="16" t="s">
        <v>97</v>
      </c>
      <c r="C808" s="16" t="s">
        <v>1284</v>
      </c>
      <c r="D808" s="16" t="s">
        <v>912</v>
      </c>
      <c r="E808" s="16" t="s">
        <v>85</v>
      </c>
      <c r="F808" s="16" t="s">
        <v>19</v>
      </c>
      <c r="G808" s="7" t="n">
        <v>1</v>
      </c>
      <c r="H808" s="6" t="n">
        <v>83.653</v>
      </c>
      <c r="I808" s="6" t="n">
        <v>-836.53</v>
      </c>
      <c r="J808" s="6" t="n">
        <v>-47.67</v>
      </c>
      <c r="K808" s="6" t="n">
        <v>-2.51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45702.456574074</v>
      </c>
      <c r="B809" s="16" t="s">
        <v>115</v>
      </c>
      <c r="C809" s="16" t="s">
        <v>1252</v>
      </c>
      <c r="D809" s="16" t="s">
        <v>912</v>
      </c>
      <c r="E809" s="16" t="s">
        <v>85</v>
      </c>
      <c r="F809" s="16" t="s">
        <v>19</v>
      </c>
      <c r="G809" s="7" t="n">
        <v>1</v>
      </c>
      <c r="H809" s="6" t="n">
        <v>83.441</v>
      </c>
      <c r="I809" s="6" t="n">
        <v>-834.41</v>
      </c>
      <c r="J809" s="6" t="n">
        <v>-27.52</v>
      </c>
      <c r="K809" s="6" t="n">
        <v>-2.5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45702.456782407</v>
      </c>
      <c r="B810" s="16" t="s">
        <v>133</v>
      </c>
      <c r="C810" s="16" t="s">
        <v>1199</v>
      </c>
      <c r="D810" s="16" t="s">
        <v>912</v>
      </c>
      <c r="E810" s="16" t="s">
        <v>85</v>
      </c>
      <c r="F810" s="16" t="s">
        <v>19</v>
      </c>
      <c r="G810" s="7" t="n">
        <v>1</v>
      </c>
      <c r="H810" s="6" t="n">
        <v>73</v>
      </c>
      <c r="I810" s="6" t="n">
        <v>-730</v>
      </c>
      <c r="J810" s="6" t="n">
        <v>-33.76</v>
      </c>
      <c r="K810" s="6" t="n">
        <v>-2.19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20" t="n">
        <v>45702.456956019</v>
      </c>
      <c r="B811" s="16" t="s">
        <v>127</v>
      </c>
      <c r="C811" s="16" t="s">
        <v>1099</v>
      </c>
      <c r="D811" s="16" t="s">
        <v>912</v>
      </c>
      <c r="E811" s="16" t="s">
        <v>85</v>
      </c>
      <c r="F811" s="16" t="s">
        <v>19</v>
      </c>
      <c r="G811" s="7" t="n">
        <v>1</v>
      </c>
      <c r="H811" s="6" t="n">
        <v>66.242</v>
      </c>
      <c r="I811" s="6" t="n">
        <v>-662.42</v>
      </c>
      <c r="J811" s="6" t="n">
        <v>-29.11</v>
      </c>
      <c r="K811" s="6" t="n">
        <v>-1.99</v>
      </c>
      <c r="L811" s="6" t="n">
        <v>0</v>
      </c>
      <c r="M811" s="6" t="s">
        <f>=I811+J811+K811+L811</f>
      </c>
      <c r="N811" s="6"/>
      <c r="O811" s="16"/>
    </row>
    <row collapsed="false" customFormat="false" customHeight="false" hidden="false" ht="12.1" outlineLevel="0" r="812">
      <c r="A812" s="20" t="n">
        <v>45702.457164352</v>
      </c>
      <c r="B812" s="16" t="s">
        <v>118</v>
      </c>
      <c r="C812" s="16" t="s">
        <v>1192</v>
      </c>
      <c r="D812" s="16" t="s">
        <v>912</v>
      </c>
      <c r="E812" s="16" t="s">
        <v>85</v>
      </c>
      <c r="F812" s="16" t="s">
        <v>19</v>
      </c>
      <c r="G812" s="7" t="n">
        <v>1</v>
      </c>
      <c r="H812" s="6" t="n">
        <v>75.485</v>
      </c>
      <c r="I812" s="6" t="n">
        <v>-754.85</v>
      </c>
      <c r="J812" s="6" t="n">
        <v>-21.34</v>
      </c>
      <c r="K812" s="6" t="n">
        <v>-2.26</v>
      </c>
      <c r="L812" s="6" t="n">
        <v>0</v>
      </c>
      <c r="M812" s="6" t="s">
        <f>=I812+J812+K812+L812</f>
      </c>
      <c r="N812" s="6"/>
      <c r="O812" s="16"/>
    </row>
    <row collapsed="false" customFormat="false" customHeight="false" hidden="false" ht="12.1" outlineLevel="0" r="813">
      <c r="A813" s="20" t="n">
        <v>45702.457337963</v>
      </c>
      <c r="B813" s="16" t="s">
        <v>124</v>
      </c>
      <c r="C813" s="16" t="s">
        <v>1136</v>
      </c>
      <c r="D813" s="16" t="s">
        <v>912</v>
      </c>
      <c r="E813" s="16" t="s">
        <v>85</v>
      </c>
      <c r="F813" s="16" t="s">
        <v>19</v>
      </c>
      <c r="G813" s="7" t="n">
        <v>1</v>
      </c>
      <c r="H813" s="6" t="n">
        <v>74.473</v>
      </c>
      <c r="I813" s="6" t="n">
        <v>-744.73</v>
      </c>
      <c r="J813" s="6" t="n">
        <v>-25.99</v>
      </c>
      <c r="K813" s="6" t="n">
        <v>-2.23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45702.457673611</v>
      </c>
      <c r="B814" s="16" t="s">
        <v>121</v>
      </c>
      <c r="C814" s="16" t="s">
        <v>1285</v>
      </c>
      <c r="D814" s="16" t="s">
        <v>912</v>
      </c>
      <c r="E814" s="16" t="s">
        <v>85</v>
      </c>
      <c r="F814" s="16" t="s">
        <v>19</v>
      </c>
      <c r="G814" s="7" t="n">
        <v>1</v>
      </c>
      <c r="H814" s="6" t="n">
        <v>84.2</v>
      </c>
      <c r="I814" s="6" t="n">
        <v>-842</v>
      </c>
      <c r="J814" s="6" t="n">
        <v>-43.07</v>
      </c>
      <c r="K814" s="6" t="n">
        <v>-2.53</v>
      </c>
      <c r="L814" s="6" t="n">
        <v>0</v>
      </c>
      <c r="M814" s="6" t="s">
        <f>=I814+J814+K814+L814</f>
      </c>
      <c r="N814" s="6"/>
      <c r="O814" s="16"/>
    </row>
    <row collapsed="false" customFormat="false" customHeight="false" hidden="false" ht="12.1" outlineLevel="0" r="815">
      <c r="A815" s="20" t="n">
        <v>45702.457858796</v>
      </c>
      <c r="B815" s="16" t="s">
        <v>88</v>
      </c>
      <c r="C815" s="16" t="s">
        <v>1069</v>
      </c>
      <c r="D815" s="16" t="s">
        <v>912</v>
      </c>
      <c r="E815" s="16" t="s">
        <v>85</v>
      </c>
      <c r="F815" s="16" t="s">
        <v>19</v>
      </c>
      <c r="G815" s="7" t="n">
        <v>1</v>
      </c>
      <c r="H815" s="6" t="n">
        <v>104</v>
      </c>
      <c r="I815" s="6" t="n">
        <v>-1040</v>
      </c>
      <c r="J815" s="6" t="n">
        <v>-33.29</v>
      </c>
      <c r="K815" s="6" t="n">
        <v>-3.12</v>
      </c>
      <c r="L815" s="6" t="n">
        <v>0</v>
      </c>
      <c r="M815" s="6" t="s">
        <f>=I815+J815+K815+L815</f>
      </c>
      <c r="N815" s="6"/>
      <c r="O815" s="16"/>
    </row>
    <row collapsed="false" customFormat="false" customHeight="false" hidden="false" ht="12.1" outlineLevel="0" r="816">
      <c r="A816" s="20" t="n">
        <v>45702.458043981</v>
      </c>
      <c r="B816" s="16" t="s">
        <v>109</v>
      </c>
      <c r="C816" s="16" t="s">
        <v>1067</v>
      </c>
      <c r="D816" s="16" t="s">
        <v>912</v>
      </c>
      <c r="E816" s="16" t="s">
        <v>85</v>
      </c>
      <c r="F816" s="16" t="s">
        <v>19</v>
      </c>
      <c r="G816" s="7" t="n">
        <v>1</v>
      </c>
      <c r="H816" s="6" t="n">
        <v>103.792</v>
      </c>
      <c r="I816" s="6" t="n">
        <v>-1037.92</v>
      </c>
      <c r="J816" s="6" t="n">
        <v>-49.58</v>
      </c>
      <c r="K816" s="6" t="n">
        <v>-3.11</v>
      </c>
      <c r="L816" s="6" t="n">
        <v>0</v>
      </c>
      <c r="M816" s="6" t="s">
        <f>=I816+J816+K816+L816</f>
      </c>
      <c r="N816" s="6"/>
      <c r="O816" s="16"/>
    </row>
    <row collapsed="false" customFormat="false" customHeight="false" hidden="false" ht="12.1" outlineLevel="0" r="817">
      <c r="A817" s="20" t="n">
        <v>45702.458252315</v>
      </c>
      <c r="B817" s="16" t="s">
        <v>100</v>
      </c>
      <c r="C817" s="16" t="s">
        <v>1253</v>
      </c>
      <c r="D817" s="16" t="s">
        <v>912</v>
      </c>
      <c r="E817" s="16" t="s">
        <v>85</v>
      </c>
      <c r="F817" s="16" t="s">
        <v>19</v>
      </c>
      <c r="G817" s="7" t="n">
        <v>1</v>
      </c>
      <c r="H817" s="6" t="n">
        <v>82.939</v>
      </c>
      <c r="I817" s="6" t="n">
        <v>-829.39</v>
      </c>
      <c r="J817" s="6" t="n">
        <v>-25.17</v>
      </c>
      <c r="K817" s="6" t="n">
        <v>-2.49</v>
      </c>
      <c r="L817" s="6" t="n">
        <v>0</v>
      </c>
      <c r="M817" s="6" t="s">
        <f>=I817+J817+K817+L817</f>
      </c>
      <c r="N817" s="6"/>
      <c r="O817" s="16"/>
    </row>
    <row collapsed="false" customFormat="false" customHeight="false" hidden="false" ht="12.1" outlineLevel="0" r="818">
      <c r="A818" s="20" t="n">
        <v>45702.45849537</v>
      </c>
      <c r="B818" s="16" t="s">
        <v>97</v>
      </c>
      <c r="C818" s="16" t="s">
        <v>1284</v>
      </c>
      <c r="D818" s="16" t="s">
        <v>912</v>
      </c>
      <c r="E818" s="16" t="s">
        <v>85</v>
      </c>
      <c r="F818" s="16" t="s">
        <v>19</v>
      </c>
      <c r="G818" s="7" t="n">
        <v>1</v>
      </c>
      <c r="H818" s="6" t="n">
        <v>83.649</v>
      </c>
      <c r="I818" s="6" t="n">
        <v>-836.49</v>
      </c>
      <c r="J818" s="6" t="n">
        <v>-47.67</v>
      </c>
      <c r="K818" s="6" t="n">
        <v>-2.51</v>
      </c>
      <c r="L818" s="6" t="n">
        <v>0</v>
      </c>
      <c r="M818" s="6" t="s">
        <f>=I818+J818+K818+L818</f>
      </c>
      <c r="N818" s="6"/>
      <c r="O818" s="16"/>
    </row>
    <row collapsed="false" customFormat="false" customHeight="false" hidden="false" ht="12.1" outlineLevel="0" r="819">
      <c r="A819" s="20" t="n">
        <v>45702.458657407</v>
      </c>
      <c r="B819" s="16" t="s">
        <v>100</v>
      </c>
      <c r="C819" s="16" t="s">
        <v>1253</v>
      </c>
      <c r="D819" s="16" t="s">
        <v>912</v>
      </c>
      <c r="E819" s="16" t="s">
        <v>85</v>
      </c>
      <c r="F819" s="16" t="s">
        <v>19</v>
      </c>
      <c r="G819" s="7" t="n">
        <v>1</v>
      </c>
      <c r="H819" s="6" t="n">
        <v>82.94</v>
      </c>
      <c r="I819" s="6" t="n">
        <v>-829.4</v>
      </c>
      <c r="J819" s="6" t="n">
        <v>-25.17</v>
      </c>
      <c r="K819" s="6" t="n">
        <v>-2.49</v>
      </c>
      <c r="L819" s="6" t="n">
        <v>0</v>
      </c>
      <c r="M819" s="6" t="s">
        <f>=I819+J819+K819+L819</f>
      </c>
      <c r="N819" s="6"/>
      <c r="O819" s="16"/>
    </row>
    <row collapsed="false" customFormat="false" customHeight="false" hidden="false" ht="12.1" outlineLevel="0" r="820">
      <c r="A820" s="20" t="n">
        <v>45702.458842593</v>
      </c>
      <c r="B820" s="16" t="s">
        <v>133</v>
      </c>
      <c r="C820" s="16" t="s">
        <v>1199</v>
      </c>
      <c r="D820" s="16" t="s">
        <v>912</v>
      </c>
      <c r="E820" s="16" t="s">
        <v>85</v>
      </c>
      <c r="F820" s="16" t="s">
        <v>19</v>
      </c>
      <c r="G820" s="7" t="n">
        <v>1</v>
      </c>
      <c r="H820" s="6" t="n">
        <v>73.129</v>
      </c>
      <c r="I820" s="6" t="n">
        <v>-731.29</v>
      </c>
      <c r="J820" s="6" t="n">
        <v>-33.76</v>
      </c>
      <c r="K820" s="6" t="n">
        <v>-2.19</v>
      </c>
      <c r="L820" s="6" t="n">
        <v>0</v>
      </c>
      <c r="M820" s="6" t="s">
        <f>=I820+J820+K820+L820</f>
      </c>
      <c r="N820" s="6"/>
      <c r="O820" s="16"/>
    </row>
    <row collapsed="false" customFormat="false" customHeight="false" hidden="false" ht="12.1" outlineLevel="0" r="821">
      <c r="A821" s="20" t="n">
        <v>45702.45900463</v>
      </c>
      <c r="B821" s="16" t="s">
        <v>127</v>
      </c>
      <c r="C821" s="16" t="s">
        <v>1099</v>
      </c>
      <c r="D821" s="16" t="s">
        <v>912</v>
      </c>
      <c r="E821" s="16" t="s">
        <v>85</v>
      </c>
      <c r="F821" s="16" t="s">
        <v>19</v>
      </c>
      <c r="G821" s="7" t="n">
        <v>1</v>
      </c>
      <c r="H821" s="6" t="n">
        <v>66.394</v>
      </c>
      <c r="I821" s="6" t="n">
        <v>-663.94</v>
      </c>
      <c r="J821" s="6" t="n">
        <v>-29.11</v>
      </c>
      <c r="K821" s="6" t="n">
        <v>-1.99</v>
      </c>
      <c r="L821" s="6" t="n">
        <v>0</v>
      </c>
      <c r="M821" s="6" t="s">
        <f>=I821+J821+K821+L821</f>
      </c>
      <c r="N821" s="6"/>
      <c r="O821" s="16"/>
    </row>
    <row collapsed="false" customFormat="false" customHeight="false" hidden="false" ht="12.1" outlineLevel="0" r="822">
      <c r="A822" s="21" t="n">
        <v>45705.510520833</v>
      </c>
      <c r="B822" s="22" t="s">
        <v>1063</v>
      </c>
      <c r="C822" s="22" t="s">
        <v>1173</v>
      </c>
      <c r="D822" s="22" t="s">
        <v>1063</v>
      </c>
      <c r="E822" s="22" t="s">
        <v>1063</v>
      </c>
      <c r="F822" s="22" t="s">
        <v>19</v>
      </c>
      <c r="G822" s="23" t="n">
        <v>1</v>
      </c>
      <c r="H822" s="24" t="n">
        <v>1</v>
      </c>
      <c r="I822" s="24" t="n">
        <v>51.61</v>
      </c>
      <c r="J822" s="24" t="n">
        <v>0</v>
      </c>
      <c r="K822" s="24" t="n">
        <v>0</v>
      </c>
      <c r="L822" s="24" t="n">
        <v>0</v>
      </c>
      <c r="M822" s="6" t="s">
        <f>=I822+J822+K822+L822</f>
      </c>
      <c r="N822" s="24"/>
      <c r="O822" s="22"/>
    </row>
    <row collapsed="false" customFormat="false" customHeight="false" hidden="false" ht="12.1" outlineLevel="0" r="823">
      <c r="A823" s="21" t="n">
        <v>45705.514791667</v>
      </c>
      <c r="B823" s="22" t="s">
        <v>1063</v>
      </c>
      <c r="C823" s="22" t="s">
        <v>1286</v>
      </c>
      <c r="D823" s="22" t="s">
        <v>1063</v>
      </c>
      <c r="E823" s="22" t="s">
        <v>1063</v>
      </c>
      <c r="F823" s="22" t="s">
        <v>19</v>
      </c>
      <c r="G823" s="23" t="n">
        <v>1</v>
      </c>
      <c r="H823" s="24" t="n">
        <v>1</v>
      </c>
      <c r="I823" s="24" t="n">
        <v>155.58</v>
      </c>
      <c r="J823" s="24" t="n">
        <v>0</v>
      </c>
      <c r="K823" s="24" t="n">
        <v>0</v>
      </c>
      <c r="L823" s="24" t="n">
        <v>0</v>
      </c>
      <c r="M823" s="6" t="s">
        <f>=I823+J823+K823+L823</f>
      </c>
      <c r="N823" s="24"/>
      <c r="O823" s="22"/>
    </row>
    <row collapsed="false" customFormat="false" customHeight="false" hidden="false" ht="12.1" outlineLevel="0" r="824">
      <c r="A824" s="21" t="n">
        <v>45706.43306713</v>
      </c>
      <c r="B824" s="22" t="s">
        <v>1073</v>
      </c>
      <c r="C824" s="22" t="s">
        <v>1215</v>
      </c>
      <c r="D824" s="22" t="s">
        <v>1073</v>
      </c>
      <c r="E824" s="22" t="s">
        <v>1073</v>
      </c>
      <c r="F824" s="22" t="s">
        <v>19</v>
      </c>
      <c r="G824" s="23" t="n">
        <v>1</v>
      </c>
      <c r="H824" s="24" t="n">
        <v>1</v>
      </c>
      <c r="I824" s="24" t="n">
        <v>400</v>
      </c>
      <c r="J824" s="24" t="n">
        <v>0</v>
      </c>
      <c r="K824" s="24" t="n">
        <v>0</v>
      </c>
      <c r="L824" s="24" t="n">
        <v>0</v>
      </c>
      <c r="M824" s="6" t="s">
        <f>=I824+J824+K824+L824</f>
      </c>
      <c r="N824" s="24"/>
      <c r="O824" s="22"/>
    </row>
    <row collapsed="false" customFormat="false" customHeight="false" hidden="false" ht="12.1" outlineLevel="0" r="825">
      <c r="A825" s="21" t="n">
        <v>45706.433773148</v>
      </c>
      <c r="B825" s="22" t="s">
        <v>1063</v>
      </c>
      <c r="C825" s="22" t="s">
        <v>1137</v>
      </c>
      <c r="D825" s="22" t="s">
        <v>1063</v>
      </c>
      <c r="E825" s="22" t="s">
        <v>1063</v>
      </c>
      <c r="F825" s="22" t="s">
        <v>19</v>
      </c>
      <c r="G825" s="23" t="n">
        <v>1</v>
      </c>
      <c r="H825" s="24" t="n">
        <v>1</v>
      </c>
      <c r="I825" s="24" t="n">
        <v>25.92</v>
      </c>
      <c r="J825" s="24" t="n">
        <v>0</v>
      </c>
      <c r="K825" s="24" t="n">
        <v>0</v>
      </c>
      <c r="L825" s="24" t="n">
        <v>0</v>
      </c>
      <c r="M825" s="6" t="s">
        <f>=I825+J825+K825+L825</f>
      </c>
      <c r="N825" s="24"/>
      <c r="O825" s="22"/>
    </row>
    <row collapsed="false" customFormat="false" customHeight="false" hidden="false" ht="12.1" outlineLevel="0" r="826">
      <c r="A826" s="21" t="n">
        <v>45709.443368056</v>
      </c>
      <c r="B826" s="22" t="s">
        <v>1073</v>
      </c>
      <c r="C826" s="22" t="s">
        <v>1198</v>
      </c>
      <c r="D826" s="22" t="s">
        <v>1073</v>
      </c>
      <c r="E826" s="22" t="s">
        <v>1073</v>
      </c>
      <c r="F826" s="22" t="s">
        <v>19</v>
      </c>
      <c r="G826" s="23" t="n">
        <v>1</v>
      </c>
      <c r="H826" s="24" t="n">
        <v>1</v>
      </c>
      <c r="I826" s="24" t="n">
        <v>125</v>
      </c>
      <c r="J826" s="24" t="n">
        <v>0</v>
      </c>
      <c r="K826" s="24" t="n">
        <v>0</v>
      </c>
      <c r="L826" s="24" t="n">
        <v>0</v>
      </c>
      <c r="M826" s="6" t="s">
        <f>=I826+J826+K826+L826</f>
      </c>
      <c r="N826" s="24"/>
      <c r="O826" s="22"/>
    </row>
    <row collapsed="false" customFormat="false" customHeight="false" hidden="false" ht="12.1" outlineLevel="0" r="827">
      <c r="A827" s="21" t="n">
        <v>45709.44431713</v>
      </c>
      <c r="B827" s="22" t="s">
        <v>1063</v>
      </c>
      <c r="C827" s="22" t="s">
        <v>1142</v>
      </c>
      <c r="D827" s="22" t="s">
        <v>1063</v>
      </c>
      <c r="E827" s="22" t="s">
        <v>1063</v>
      </c>
      <c r="F827" s="22" t="s">
        <v>19</v>
      </c>
      <c r="G827" s="23" t="n">
        <v>1</v>
      </c>
      <c r="H827" s="24" t="n">
        <v>1</v>
      </c>
      <c r="I827" s="24" t="n">
        <v>8.66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4"/>
      <c r="O827" s="22"/>
    </row>
    <row collapsed="false" customFormat="false" customHeight="false" hidden="false" ht="12.1" outlineLevel="0" r="828">
      <c r="A828" s="21" t="n">
        <v>45712.399571759</v>
      </c>
      <c r="B828" s="22" t="s">
        <v>1063</v>
      </c>
      <c r="C828" s="22" t="s">
        <v>1287</v>
      </c>
      <c r="D828" s="22" t="s">
        <v>1063</v>
      </c>
      <c r="E828" s="22" t="s">
        <v>1063</v>
      </c>
      <c r="F828" s="22" t="s">
        <v>19</v>
      </c>
      <c r="G828" s="23" t="n">
        <v>1</v>
      </c>
      <c r="H828" s="24" t="n">
        <v>1</v>
      </c>
      <c r="I828" s="24" t="n">
        <v>89.76</v>
      </c>
      <c r="J828" s="24" t="n">
        <v>0</v>
      </c>
      <c r="K828" s="24" t="n">
        <v>0</v>
      </c>
      <c r="L828" s="24" t="n">
        <v>0</v>
      </c>
      <c r="M828" s="6" t="s">
        <f>=I828+J828+K828+L828</f>
      </c>
      <c r="N828" s="24"/>
      <c r="O828" s="22"/>
    </row>
    <row collapsed="false" customFormat="false" customHeight="false" hidden="false" ht="12.1" outlineLevel="0" r="829">
      <c r="A829" s="21" t="n">
        <v>45713.518472222</v>
      </c>
      <c r="B829" s="22" t="s">
        <v>1063</v>
      </c>
      <c r="C829" s="22" t="s">
        <v>1251</v>
      </c>
      <c r="D829" s="22" t="s">
        <v>1063</v>
      </c>
      <c r="E829" s="22" t="s">
        <v>1063</v>
      </c>
      <c r="F829" s="22" t="s">
        <v>19</v>
      </c>
      <c r="G829" s="23" t="n">
        <v>1</v>
      </c>
      <c r="H829" s="24" t="n">
        <v>1</v>
      </c>
      <c r="I829" s="24" t="n">
        <v>11.18</v>
      </c>
      <c r="J829" s="24" t="n">
        <v>0</v>
      </c>
      <c r="K829" s="24" t="n">
        <v>0</v>
      </c>
      <c r="L829" s="24" t="n">
        <v>0</v>
      </c>
      <c r="M829" s="6" t="s">
        <f>=I829+J829+K829+L829</f>
      </c>
      <c r="N829" s="24"/>
      <c r="O829" s="22"/>
    </row>
    <row collapsed="false" customFormat="false" customHeight="false" hidden="false" ht="12.1" outlineLevel="0" r="830">
      <c r="A830" s="21" t="n">
        <v>45713.522118056</v>
      </c>
      <c r="B830" s="22" t="s">
        <v>1063</v>
      </c>
      <c r="C830" s="22" t="s">
        <v>1235</v>
      </c>
      <c r="D830" s="22" t="s">
        <v>1063</v>
      </c>
      <c r="E830" s="22" t="s">
        <v>1063</v>
      </c>
      <c r="F830" s="22" t="s">
        <v>19</v>
      </c>
      <c r="G830" s="23" t="n">
        <v>1</v>
      </c>
      <c r="H830" s="24" t="n">
        <v>1</v>
      </c>
      <c r="I830" s="24" t="n">
        <v>36.32</v>
      </c>
      <c r="J830" s="24" t="n">
        <v>0</v>
      </c>
      <c r="K830" s="24" t="n">
        <v>0</v>
      </c>
      <c r="L830" s="24" t="n">
        <v>0</v>
      </c>
      <c r="M830" s="6" t="s">
        <f>=I830+J830+K830+L830</f>
      </c>
      <c r="N830" s="24"/>
      <c r="O830" s="22"/>
    </row>
    <row collapsed="false" customFormat="false" customHeight="false" hidden="false" ht="12.1" outlineLevel="0" r="831">
      <c r="A831" s="21" t="n">
        <v>45714.43125</v>
      </c>
      <c r="B831" s="22" t="s">
        <v>1056</v>
      </c>
      <c r="C831" s="22" t="s">
        <v>697</v>
      </c>
      <c r="D831" s="22" t="s">
        <v>1056</v>
      </c>
      <c r="E831" s="22" t="s">
        <v>1056</v>
      </c>
      <c r="F831" s="22" t="s">
        <v>19</v>
      </c>
      <c r="G831" s="23" t="n">
        <v>19475</v>
      </c>
      <c r="H831" s="24" t="n">
        <v>1</v>
      </c>
      <c r="I831" s="24" t="n">
        <v>19475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4"/>
      <c r="O831" s="22"/>
    </row>
    <row collapsed="false" customFormat="false" customHeight="false" hidden="false" ht="12.1" outlineLevel="0" r="832">
      <c r="A832" s="20" t="n">
        <v>45714.52900463</v>
      </c>
      <c r="B832" s="16" t="s">
        <v>100</v>
      </c>
      <c r="C832" s="16" t="s">
        <v>1253</v>
      </c>
      <c r="D832" s="16" t="s">
        <v>912</v>
      </c>
      <c r="E832" s="16" t="s">
        <v>85</v>
      </c>
      <c r="F832" s="16" t="s">
        <v>19</v>
      </c>
      <c r="G832" s="7" t="n">
        <v>1</v>
      </c>
      <c r="H832" s="6" t="n">
        <v>79.149</v>
      </c>
      <c r="I832" s="6" t="n">
        <v>-791.49</v>
      </c>
      <c r="J832" s="6" t="n">
        <v>-28.53</v>
      </c>
      <c r="K832" s="6" t="n">
        <v>-2.37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0" t="n">
        <v>45714.529212963</v>
      </c>
      <c r="B833" s="16" t="s">
        <v>94</v>
      </c>
      <c r="C833" s="16" t="s">
        <v>1107</v>
      </c>
      <c r="D833" s="16" t="s">
        <v>912</v>
      </c>
      <c r="E833" s="16" t="s">
        <v>85</v>
      </c>
      <c r="F833" s="16" t="s">
        <v>19</v>
      </c>
      <c r="G833" s="7" t="n">
        <v>1</v>
      </c>
      <c r="H833" s="6" t="n">
        <v>53.799</v>
      </c>
      <c r="I833" s="6" t="n">
        <v>-537.99</v>
      </c>
      <c r="J833" s="6" t="n">
        <v>-16.53</v>
      </c>
      <c r="K833" s="6" t="n">
        <v>-1.61</v>
      </c>
      <c r="L833" s="6" t="n">
        <v>0</v>
      </c>
      <c r="M833" s="6" t="s">
        <f>=I833+J833+K833+L833</f>
      </c>
      <c r="N833" s="6"/>
      <c r="O833" s="16"/>
    </row>
    <row collapsed="false" customFormat="false" customHeight="false" hidden="false" ht="12.1" outlineLevel="0" r="834">
      <c r="A834" s="20" t="n">
        <v>45714.529525463</v>
      </c>
      <c r="B834" s="16" t="s">
        <v>115</v>
      </c>
      <c r="C834" s="16" t="s">
        <v>1252</v>
      </c>
      <c r="D834" s="16" t="s">
        <v>912</v>
      </c>
      <c r="E834" s="16" t="s">
        <v>85</v>
      </c>
      <c r="F834" s="16" t="s">
        <v>19</v>
      </c>
      <c r="G834" s="7" t="n">
        <v>1</v>
      </c>
      <c r="H834" s="6" t="n">
        <v>79.579</v>
      </c>
      <c r="I834" s="6" t="n">
        <v>-795.79</v>
      </c>
      <c r="J834" s="6" t="n">
        <v>-30.88</v>
      </c>
      <c r="K834" s="6" t="n">
        <v>-2.39</v>
      </c>
      <c r="L834" s="6" t="n">
        <v>0</v>
      </c>
      <c r="M834" s="6" t="s">
        <f>=I834+J834+K834+L834</f>
      </c>
      <c r="N834" s="6"/>
      <c r="O834" s="16"/>
    </row>
    <row collapsed="false" customFormat="false" customHeight="false" hidden="false" ht="12.1" outlineLevel="0" r="835">
      <c r="A835" s="20" t="n">
        <v>45714.529756944</v>
      </c>
      <c r="B835" s="16" t="s">
        <v>84</v>
      </c>
      <c r="C835" s="16" t="s">
        <v>1065</v>
      </c>
      <c r="D835" s="16" t="s">
        <v>912</v>
      </c>
      <c r="E835" s="16" t="s">
        <v>85</v>
      </c>
      <c r="F835" s="16" t="s">
        <v>19</v>
      </c>
      <c r="G835" s="7" t="n">
        <v>1</v>
      </c>
      <c r="H835" s="6" t="n">
        <v>53.838</v>
      </c>
      <c r="I835" s="6" t="n">
        <v>-538.38</v>
      </c>
      <c r="J835" s="6" t="n">
        <v>-4.85</v>
      </c>
      <c r="K835" s="6" t="n">
        <v>-1.62</v>
      </c>
      <c r="L835" s="6" t="n">
        <v>0</v>
      </c>
      <c r="M835" s="6" t="s">
        <f>=I835+J835+K835+L835</f>
      </c>
      <c r="N835" s="6"/>
      <c r="O835" s="16"/>
    </row>
    <row collapsed="false" customFormat="false" customHeight="false" hidden="false" ht="12.1" outlineLevel="0" r="836">
      <c r="A836" s="20" t="n">
        <v>45714.530023148</v>
      </c>
      <c r="B836" s="16" t="s">
        <v>91</v>
      </c>
      <c r="C836" s="16" t="s">
        <v>1167</v>
      </c>
      <c r="D836" s="16" t="s">
        <v>912</v>
      </c>
      <c r="E836" s="16" t="s">
        <v>85</v>
      </c>
      <c r="F836" s="16" t="s">
        <v>19</v>
      </c>
      <c r="G836" s="7" t="n">
        <v>1</v>
      </c>
      <c r="H836" s="6" t="n">
        <v>69.525</v>
      </c>
      <c r="I836" s="6" t="n">
        <v>-695.25</v>
      </c>
      <c r="J836" s="6" t="n">
        <v>-22.82</v>
      </c>
      <c r="K836" s="6" t="n">
        <v>-2.09</v>
      </c>
      <c r="L836" s="6" t="n">
        <v>0</v>
      </c>
      <c r="M836" s="6" t="s">
        <f>=I836+J836+K836+L836</f>
      </c>
      <c r="N836" s="6"/>
      <c r="O836" s="16"/>
    </row>
    <row collapsed="false" customFormat="false" customHeight="false" hidden="false" ht="12.1" outlineLevel="0" r="837">
      <c r="A837" s="20" t="n">
        <v>45714.530555556</v>
      </c>
      <c r="B837" s="16" t="s">
        <v>97</v>
      </c>
      <c r="C837" s="16" t="s">
        <v>1284</v>
      </c>
      <c r="D837" s="16" t="s">
        <v>912</v>
      </c>
      <c r="E837" s="16" t="s">
        <v>85</v>
      </c>
      <c r="F837" s="16" t="s">
        <v>19</v>
      </c>
      <c r="G837" s="7" t="n">
        <v>1</v>
      </c>
      <c r="H837" s="6" t="n">
        <v>80.47</v>
      </c>
      <c r="I837" s="6" t="n">
        <v>-804.7</v>
      </c>
      <c r="J837" s="6" t="n">
        <v>-50.96</v>
      </c>
      <c r="K837" s="6" t="n">
        <v>-2.41</v>
      </c>
      <c r="L837" s="6" t="n">
        <v>0</v>
      </c>
      <c r="M837" s="6" t="s">
        <f>=I837+J837+K837+L837</f>
      </c>
      <c r="N837" s="6"/>
      <c r="O837" s="16"/>
    </row>
    <row collapsed="false" customFormat="false" customHeight="false" hidden="false" ht="12.1" outlineLevel="0" r="838">
      <c r="A838" s="20" t="n">
        <v>45714.530729167</v>
      </c>
      <c r="B838" s="16" t="s">
        <v>112</v>
      </c>
      <c r="C838" s="16" t="s">
        <v>1110</v>
      </c>
      <c r="D838" s="16" t="s">
        <v>912</v>
      </c>
      <c r="E838" s="16" t="s">
        <v>85</v>
      </c>
      <c r="F838" s="16" t="s">
        <v>19</v>
      </c>
      <c r="G838" s="7" t="n">
        <v>1</v>
      </c>
      <c r="H838" s="6" t="n">
        <v>56.6</v>
      </c>
      <c r="I838" s="6" t="n">
        <v>-566</v>
      </c>
      <c r="J838" s="6" t="n">
        <v>-2.88</v>
      </c>
      <c r="K838" s="6" t="n">
        <v>-1.7</v>
      </c>
      <c r="L838" s="6" t="n">
        <v>0</v>
      </c>
      <c r="M838" s="6" t="s">
        <f>=I838+J838+K838+L838</f>
      </c>
      <c r="N838" s="6"/>
      <c r="O838" s="16"/>
    </row>
    <row collapsed="false" customFormat="false" customHeight="false" hidden="false" ht="12.1" outlineLevel="0" r="839">
      <c r="A839" s="20" t="n">
        <v>45714.530949074</v>
      </c>
      <c r="B839" s="16" t="s">
        <v>106</v>
      </c>
      <c r="C839" s="16" t="s">
        <v>1100</v>
      </c>
      <c r="D839" s="16" t="s">
        <v>912</v>
      </c>
      <c r="E839" s="16" t="s">
        <v>85</v>
      </c>
      <c r="F839" s="16" t="s">
        <v>19</v>
      </c>
      <c r="G839" s="7" t="n">
        <v>1</v>
      </c>
      <c r="H839" s="6" t="n">
        <v>57.475</v>
      </c>
      <c r="I839" s="6" t="n">
        <v>-574.75</v>
      </c>
      <c r="J839" s="6" t="n">
        <v>-31.22</v>
      </c>
      <c r="K839" s="6" t="n">
        <v>-1.72</v>
      </c>
      <c r="L839" s="6" t="n">
        <v>0</v>
      </c>
      <c r="M839" s="6" t="s">
        <f>=I839+J839+K839+L839</f>
      </c>
      <c r="N839" s="6"/>
      <c r="O839" s="16"/>
    </row>
    <row collapsed="false" customFormat="false" customHeight="false" hidden="false" ht="12.1" outlineLevel="0" r="840">
      <c r="A840" s="20" t="n">
        <v>45714.531527778</v>
      </c>
      <c r="B840" s="16" t="s">
        <v>88</v>
      </c>
      <c r="C840" s="16" t="s">
        <v>1069</v>
      </c>
      <c r="D840" s="16" t="s">
        <v>912</v>
      </c>
      <c r="E840" s="16" t="s">
        <v>85</v>
      </c>
      <c r="F840" s="16" t="s">
        <v>19</v>
      </c>
      <c r="G840" s="7" t="n">
        <v>1</v>
      </c>
      <c r="H840" s="6" t="n">
        <v>104.245</v>
      </c>
      <c r="I840" s="6" t="n">
        <v>-1042.45</v>
      </c>
      <c r="J840" s="6" t="n">
        <v>-38.75</v>
      </c>
      <c r="K840" s="6" t="n">
        <v>-3.13</v>
      </c>
      <c r="L840" s="6" t="n">
        <v>0</v>
      </c>
      <c r="M840" s="6" t="s">
        <f>=I840+J840+K840+L840</f>
      </c>
      <c r="N840" s="6"/>
      <c r="O840" s="16"/>
    </row>
    <row collapsed="false" customFormat="false" customHeight="false" hidden="false" ht="12.1" outlineLevel="0" r="841">
      <c r="A841" s="20" t="n">
        <v>45714.531851852</v>
      </c>
      <c r="B841" s="16" t="s">
        <v>109</v>
      </c>
      <c r="C841" s="16" t="s">
        <v>1067</v>
      </c>
      <c r="D841" s="16" t="s">
        <v>912</v>
      </c>
      <c r="E841" s="16" t="s">
        <v>85</v>
      </c>
      <c r="F841" s="16" t="s">
        <v>19</v>
      </c>
      <c r="G841" s="7" t="n">
        <v>1</v>
      </c>
      <c r="H841" s="6" t="n">
        <v>103.66</v>
      </c>
      <c r="I841" s="6" t="n">
        <v>-1036.6</v>
      </c>
      <c r="J841" s="6" t="n">
        <v>-54.74</v>
      </c>
      <c r="K841" s="6" t="n">
        <v>-3.11</v>
      </c>
      <c r="L841" s="6" t="n">
        <v>0</v>
      </c>
      <c r="M841" s="6" t="s">
        <f>=I841+J841+K841+L841</f>
      </c>
      <c r="N841" s="6"/>
      <c r="O841" s="16"/>
    </row>
    <row collapsed="false" customFormat="false" customHeight="false" hidden="false" ht="12.1" outlineLevel="0" r="842">
      <c r="A842" s="20" t="n">
        <v>45714.532037037</v>
      </c>
      <c r="B842" s="16" t="s">
        <v>100</v>
      </c>
      <c r="C842" s="16" t="s">
        <v>1253</v>
      </c>
      <c r="D842" s="16" t="s">
        <v>912</v>
      </c>
      <c r="E842" s="16" t="s">
        <v>85</v>
      </c>
      <c r="F842" s="16" t="s">
        <v>19</v>
      </c>
      <c r="G842" s="7" t="n">
        <v>1</v>
      </c>
      <c r="H842" s="6" t="n">
        <v>79.149</v>
      </c>
      <c r="I842" s="6" t="n">
        <v>-791.49</v>
      </c>
      <c r="J842" s="6" t="n">
        <v>-28.53</v>
      </c>
      <c r="K842" s="6" t="n">
        <v>-2.37</v>
      </c>
      <c r="L842" s="6" t="n">
        <v>0</v>
      </c>
      <c r="M842" s="6" t="s">
        <f>=I842+J842+K842+L842</f>
      </c>
      <c r="N842" s="6"/>
      <c r="O842" s="16"/>
    </row>
    <row collapsed="false" customFormat="false" customHeight="false" hidden="false" ht="12.1" outlineLevel="0" r="843">
      <c r="A843" s="20" t="n">
        <v>45714.532210648</v>
      </c>
      <c r="B843" s="16" t="s">
        <v>115</v>
      </c>
      <c r="C843" s="16" t="s">
        <v>1252</v>
      </c>
      <c r="D843" s="16" t="s">
        <v>912</v>
      </c>
      <c r="E843" s="16" t="s">
        <v>85</v>
      </c>
      <c r="F843" s="16" t="s">
        <v>19</v>
      </c>
      <c r="G843" s="7" t="n">
        <v>1</v>
      </c>
      <c r="H843" s="6" t="n">
        <v>79.578</v>
      </c>
      <c r="I843" s="6" t="n">
        <v>-795.78</v>
      </c>
      <c r="J843" s="6" t="n">
        <v>-30.88</v>
      </c>
      <c r="K843" s="6" t="n">
        <v>-2.39</v>
      </c>
      <c r="L843" s="6" t="n">
        <v>0</v>
      </c>
      <c r="M843" s="6" t="s">
        <f>=I843+J843+K843+L843</f>
      </c>
      <c r="N843" s="6"/>
      <c r="O843" s="16"/>
    </row>
    <row collapsed="false" customFormat="false" customHeight="false" hidden="false" ht="12.1" outlineLevel="0" r="844">
      <c r="A844" s="20" t="n">
        <v>45714.532384259</v>
      </c>
      <c r="B844" s="16" t="s">
        <v>121</v>
      </c>
      <c r="C844" s="16" t="s">
        <v>1285</v>
      </c>
      <c r="D844" s="16" t="s">
        <v>912</v>
      </c>
      <c r="E844" s="16" t="s">
        <v>85</v>
      </c>
      <c r="F844" s="16" t="s">
        <v>19</v>
      </c>
      <c r="G844" s="7" t="n">
        <v>1</v>
      </c>
      <c r="H844" s="6" t="n">
        <v>80.72</v>
      </c>
      <c r="I844" s="6" t="n">
        <v>-807.2</v>
      </c>
      <c r="J844" s="6" t="n">
        <v>-46.36</v>
      </c>
      <c r="K844" s="6" t="n">
        <v>-2.42</v>
      </c>
      <c r="L844" s="6" t="n">
        <v>0</v>
      </c>
      <c r="M844" s="6" t="s">
        <f>=I844+J844+K844+L844</f>
      </c>
      <c r="N844" s="6"/>
      <c r="O844" s="16"/>
    </row>
    <row collapsed="false" customFormat="false" customHeight="false" hidden="false" ht="12.1" outlineLevel="0" r="845">
      <c r="A845" s="20" t="n">
        <v>45714.532534722</v>
      </c>
      <c r="B845" s="16" t="s">
        <v>97</v>
      </c>
      <c r="C845" s="16" t="s">
        <v>1284</v>
      </c>
      <c r="D845" s="16" t="s">
        <v>912</v>
      </c>
      <c r="E845" s="16" t="s">
        <v>85</v>
      </c>
      <c r="F845" s="16" t="s">
        <v>19</v>
      </c>
      <c r="G845" s="7" t="n">
        <v>1</v>
      </c>
      <c r="H845" s="6" t="n">
        <v>80.47</v>
      </c>
      <c r="I845" s="6" t="n">
        <v>-804.7</v>
      </c>
      <c r="J845" s="6" t="n">
        <v>-50.96</v>
      </c>
      <c r="K845" s="6" t="n">
        <v>-2.41</v>
      </c>
      <c r="L845" s="6" t="n">
        <v>0</v>
      </c>
      <c r="M845" s="6" t="s">
        <f>=I845+J845+K845+L845</f>
      </c>
      <c r="N845" s="6"/>
      <c r="O845" s="16"/>
    </row>
    <row collapsed="false" customFormat="false" customHeight="false" hidden="false" ht="12.1" outlineLevel="0" r="846">
      <c r="A846" s="20" t="n">
        <v>45714.532743056</v>
      </c>
      <c r="B846" s="16" t="s">
        <v>124</v>
      </c>
      <c r="C846" s="16" t="s">
        <v>1136</v>
      </c>
      <c r="D846" s="16" t="s">
        <v>912</v>
      </c>
      <c r="E846" s="16" t="s">
        <v>85</v>
      </c>
      <c r="F846" s="16" t="s">
        <v>19</v>
      </c>
      <c r="G846" s="7" t="n">
        <v>1</v>
      </c>
      <c r="H846" s="6" t="n">
        <v>72.94</v>
      </c>
      <c r="I846" s="6" t="n">
        <v>-729.4</v>
      </c>
      <c r="J846" s="6" t="n">
        <v>-28.09</v>
      </c>
      <c r="K846" s="6" t="n">
        <v>-2.19</v>
      </c>
      <c r="L846" s="6" t="n">
        <v>0</v>
      </c>
      <c r="M846" s="6" t="s">
        <f>=I846+J846+K846+L846</f>
      </c>
      <c r="N846" s="6"/>
      <c r="O846" s="16"/>
    </row>
    <row collapsed="false" customFormat="false" customHeight="false" hidden="false" ht="12.1" outlineLevel="0" r="847">
      <c r="A847" s="20" t="n">
        <v>45714.532905093</v>
      </c>
      <c r="B847" s="16" t="s">
        <v>136</v>
      </c>
      <c r="C847" s="16" t="s">
        <v>1066</v>
      </c>
      <c r="D847" s="16" t="s">
        <v>912</v>
      </c>
      <c r="E847" s="16" t="s">
        <v>85</v>
      </c>
      <c r="F847" s="16" t="s">
        <v>19</v>
      </c>
      <c r="G847" s="7" t="n">
        <v>1</v>
      </c>
      <c r="H847" s="6" t="n">
        <v>60.591</v>
      </c>
      <c r="I847" s="6" t="n">
        <v>-605.91</v>
      </c>
      <c r="J847" s="6" t="n">
        <v>-19.66</v>
      </c>
      <c r="K847" s="6" t="n">
        <v>-1.82</v>
      </c>
      <c r="L847" s="6" t="n">
        <v>0</v>
      </c>
      <c r="M847" s="6" t="s">
        <f>=I847+J847+K847+L847</f>
      </c>
      <c r="N847" s="6"/>
      <c r="O847" s="16"/>
    </row>
    <row collapsed="false" customFormat="false" customHeight="false" hidden="false" ht="12.1" outlineLevel="0" r="848">
      <c r="A848" s="20" t="n">
        <v>45714.533078704</v>
      </c>
      <c r="B848" s="16" t="s">
        <v>133</v>
      </c>
      <c r="C848" s="16" t="s">
        <v>1199</v>
      </c>
      <c r="D848" s="16" t="s">
        <v>912</v>
      </c>
      <c r="E848" s="16" t="s">
        <v>85</v>
      </c>
      <c r="F848" s="16" t="s">
        <v>19</v>
      </c>
      <c r="G848" s="7" t="n">
        <v>1</v>
      </c>
      <c r="H848" s="6" t="n">
        <v>72.265</v>
      </c>
      <c r="I848" s="6" t="n">
        <v>-722.65</v>
      </c>
      <c r="J848" s="6" t="n">
        <v>-36.09</v>
      </c>
      <c r="K848" s="6" t="n">
        <v>-2.17</v>
      </c>
      <c r="L848" s="6" t="n">
        <v>0</v>
      </c>
      <c r="M848" s="6" t="s">
        <f>=I848+J848+K848+L848</f>
      </c>
      <c r="N848" s="6"/>
      <c r="O848" s="16"/>
    </row>
    <row collapsed="false" customFormat="false" customHeight="false" hidden="false" ht="12.1" outlineLevel="0" r="849">
      <c r="A849" s="20" t="n">
        <v>45714.533240741</v>
      </c>
      <c r="B849" s="16" t="s">
        <v>103</v>
      </c>
      <c r="C849" s="16" t="s">
        <v>1061</v>
      </c>
      <c r="D849" s="16" t="s">
        <v>912</v>
      </c>
      <c r="E849" s="16" t="s">
        <v>85</v>
      </c>
      <c r="F849" s="16" t="s">
        <v>19</v>
      </c>
      <c r="G849" s="7" t="n">
        <v>1</v>
      </c>
      <c r="H849" s="6" t="n">
        <v>63.605</v>
      </c>
      <c r="I849" s="6" t="n">
        <v>-636.05</v>
      </c>
      <c r="J849" s="6" t="n">
        <v>-26.19</v>
      </c>
      <c r="K849" s="6" t="n">
        <v>-1.91</v>
      </c>
      <c r="L849" s="6" t="n">
        <v>0</v>
      </c>
      <c r="M849" s="6" t="s">
        <f>=I849+J849+K849+L849</f>
      </c>
      <c r="N849" s="6"/>
      <c r="O849" s="16"/>
    </row>
    <row collapsed="false" customFormat="false" customHeight="false" hidden="false" ht="12.1" outlineLevel="0" r="850">
      <c r="A850" s="20" t="n">
        <v>45714.533414352</v>
      </c>
      <c r="B850" s="16" t="s">
        <v>88</v>
      </c>
      <c r="C850" s="16" t="s">
        <v>1069</v>
      </c>
      <c r="D850" s="16" t="s">
        <v>912</v>
      </c>
      <c r="E850" s="16" t="s">
        <v>85</v>
      </c>
      <c r="F850" s="16" t="s">
        <v>19</v>
      </c>
      <c r="G850" s="7" t="n">
        <v>1</v>
      </c>
      <c r="H850" s="6" t="n">
        <v>104.245</v>
      </c>
      <c r="I850" s="6" t="n">
        <v>-1042.45</v>
      </c>
      <c r="J850" s="6" t="n">
        <v>-38.75</v>
      </c>
      <c r="K850" s="6" t="n">
        <v>-3.13</v>
      </c>
      <c r="L850" s="6" t="n">
        <v>0</v>
      </c>
      <c r="M850" s="6" t="s">
        <f>=I850+J850+K850+L850</f>
      </c>
      <c r="N850" s="6"/>
      <c r="O850" s="16"/>
    </row>
    <row collapsed="false" customFormat="false" customHeight="false" hidden="false" ht="12.1" outlineLevel="0" r="851">
      <c r="A851" s="20" t="n">
        <v>45714.533576389</v>
      </c>
      <c r="B851" s="16" t="s">
        <v>109</v>
      </c>
      <c r="C851" s="16" t="s">
        <v>1067</v>
      </c>
      <c r="D851" s="16" t="s">
        <v>912</v>
      </c>
      <c r="E851" s="16" t="s">
        <v>85</v>
      </c>
      <c r="F851" s="16" t="s">
        <v>19</v>
      </c>
      <c r="G851" s="7" t="n">
        <v>1</v>
      </c>
      <c r="H851" s="6" t="n">
        <v>103.675</v>
      </c>
      <c r="I851" s="6" t="n">
        <v>-1036.75</v>
      </c>
      <c r="J851" s="6" t="n">
        <v>-54.74</v>
      </c>
      <c r="K851" s="6" t="n">
        <v>-3.11</v>
      </c>
      <c r="L851" s="6" t="n">
        <v>0</v>
      </c>
      <c r="M851" s="6" t="s">
        <f>=I851+J851+K851+L851</f>
      </c>
      <c r="N851" s="6"/>
      <c r="O851" s="16"/>
    </row>
    <row collapsed="false" customFormat="false" customHeight="false" hidden="false" ht="12.1" outlineLevel="0" r="852">
      <c r="A852" s="20" t="n">
        <v>45714.533761574</v>
      </c>
      <c r="B852" s="16" t="s">
        <v>100</v>
      </c>
      <c r="C852" s="16" t="s">
        <v>1253</v>
      </c>
      <c r="D852" s="16" t="s">
        <v>912</v>
      </c>
      <c r="E852" s="16" t="s">
        <v>85</v>
      </c>
      <c r="F852" s="16" t="s">
        <v>19</v>
      </c>
      <c r="G852" s="7" t="n">
        <v>1</v>
      </c>
      <c r="H852" s="6" t="n">
        <v>79.13</v>
      </c>
      <c r="I852" s="6" t="n">
        <v>-791.3</v>
      </c>
      <c r="J852" s="6" t="n">
        <v>-28.53</v>
      </c>
      <c r="K852" s="6" t="n">
        <v>-2.37</v>
      </c>
      <c r="L852" s="6" t="n">
        <v>0</v>
      </c>
      <c r="M852" s="6" t="s">
        <f>=I852+J852+K852+L852</f>
      </c>
      <c r="N852" s="6"/>
      <c r="O852" s="16"/>
    </row>
    <row collapsed="false" customFormat="false" customHeight="false" hidden="false" ht="12.1" outlineLevel="0" r="853">
      <c r="A853" s="20" t="n">
        <v>45714.533912037</v>
      </c>
      <c r="B853" s="16" t="s">
        <v>115</v>
      </c>
      <c r="C853" s="16" t="s">
        <v>1252</v>
      </c>
      <c r="D853" s="16" t="s">
        <v>912</v>
      </c>
      <c r="E853" s="16" t="s">
        <v>85</v>
      </c>
      <c r="F853" s="16" t="s">
        <v>19</v>
      </c>
      <c r="G853" s="7" t="n">
        <v>1</v>
      </c>
      <c r="H853" s="6" t="n">
        <v>79.598</v>
      </c>
      <c r="I853" s="6" t="n">
        <v>-795.98</v>
      </c>
      <c r="J853" s="6" t="n">
        <v>-30.88</v>
      </c>
      <c r="K853" s="6" t="n">
        <v>-2.39</v>
      </c>
      <c r="L853" s="6" t="n">
        <v>0</v>
      </c>
      <c r="M853" s="6" t="s">
        <f>=I853+J853+K853+L853</f>
      </c>
      <c r="N853" s="6"/>
      <c r="O853" s="16"/>
    </row>
    <row collapsed="false" customFormat="false" customHeight="false" hidden="false" ht="12.1" outlineLevel="0" r="854">
      <c r="A854" s="20" t="n">
        <v>45714.534050926</v>
      </c>
      <c r="B854" s="16" t="s">
        <v>121</v>
      </c>
      <c r="C854" s="16" t="s">
        <v>1285</v>
      </c>
      <c r="D854" s="16" t="s">
        <v>912</v>
      </c>
      <c r="E854" s="16" t="s">
        <v>85</v>
      </c>
      <c r="F854" s="16" t="s">
        <v>19</v>
      </c>
      <c r="G854" s="7" t="n">
        <v>1</v>
      </c>
      <c r="H854" s="6" t="n">
        <v>80.72</v>
      </c>
      <c r="I854" s="6" t="n">
        <v>-807.2</v>
      </c>
      <c r="J854" s="6" t="n">
        <v>-46.36</v>
      </c>
      <c r="K854" s="6" t="n">
        <v>-2.42</v>
      </c>
      <c r="L854" s="6" t="n">
        <v>0</v>
      </c>
      <c r="M854" s="6" t="s">
        <f>=I854+J854+K854+L854</f>
      </c>
      <c r="N854" s="6"/>
      <c r="O854" s="16"/>
    </row>
    <row collapsed="false" customFormat="false" customHeight="false" hidden="false" ht="12.1" outlineLevel="0" r="855">
      <c r="A855" s="20" t="n">
        <v>45714.534212963</v>
      </c>
      <c r="B855" s="16" t="s">
        <v>97</v>
      </c>
      <c r="C855" s="16" t="s">
        <v>1284</v>
      </c>
      <c r="D855" s="16" t="s">
        <v>912</v>
      </c>
      <c r="E855" s="16" t="s">
        <v>85</v>
      </c>
      <c r="F855" s="16" t="s">
        <v>19</v>
      </c>
      <c r="G855" s="7" t="n">
        <v>1</v>
      </c>
      <c r="H855" s="6" t="n">
        <v>80.47</v>
      </c>
      <c r="I855" s="6" t="n">
        <v>-804.7</v>
      </c>
      <c r="J855" s="6" t="n">
        <v>-50.96</v>
      </c>
      <c r="K855" s="6" t="n">
        <v>-2.41</v>
      </c>
      <c r="L855" s="6" t="n">
        <v>0</v>
      </c>
      <c r="M855" s="6" t="s">
        <f>=I855+J855+K855+L855</f>
      </c>
      <c r="N855" s="6"/>
      <c r="O855" s="16"/>
    </row>
    <row collapsed="false" customFormat="false" customHeight="false" hidden="false" ht="12.1" outlineLevel="0" r="856">
      <c r="A856" s="20" t="n">
        <v>45714.534375</v>
      </c>
      <c r="B856" s="16" t="s">
        <v>124</v>
      </c>
      <c r="C856" s="16" t="s">
        <v>1136</v>
      </c>
      <c r="D856" s="16" t="s">
        <v>912</v>
      </c>
      <c r="E856" s="16" t="s">
        <v>85</v>
      </c>
      <c r="F856" s="16" t="s">
        <v>19</v>
      </c>
      <c r="G856" s="7" t="n">
        <v>1</v>
      </c>
      <c r="H856" s="6" t="n">
        <v>72.94</v>
      </c>
      <c r="I856" s="6" t="n">
        <v>-729.4</v>
      </c>
      <c r="J856" s="6" t="n">
        <v>-28.09</v>
      </c>
      <c r="K856" s="6" t="n">
        <v>-2.19</v>
      </c>
      <c r="L856" s="6" t="n">
        <v>0</v>
      </c>
      <c r="M856" s="6" t="s">
        <f>=I856+J856+K856+L856</f>
      </c>
      <c r="N856" s="6"/>
      <c r="O856" s="16"/>
    </row>
    <row collapsed="false" customFormat="false" customHeight="false" hidden="false" ht="12.1" outlineLevel="0" r="857">
      <c r="A857" s="21" t="n">
        <v>45714.564108796</v>
      </c>
      <c r="B857" s="22" t="s">
        <v>1063</v>
      </c>
      <c r="C857" s="22" t="s">
        <v>1207</v>
      </c>
      <c r="D857" s="22" t="s">
        <v>1063</v>
      </c>
      <c r="E857" s="22" t="s">
        <v>1063</v>
      </c>
      <c r="F857" s="22" t="s">
        <v>19</v>
      </c>
      <c r="G857" s="23" t="n">
        <v>1</v>
      </c>
      <c r="H857" s="24" t="n">
        <v>1</v>
      </c>
      <c r="I857" s="24" t="n">
        <v>18.67</v>
      </c>
      <c r="J857" s="24" t="n">
        <v>0</v>
      </c>
      <c r="K857" s="24" t="n">
        <v>0</v>
      </c>
      <c r="L857" s="24" t="n">
        <v>0</v>
      </c>
      <c r="M857" s="6" t="s">
        <f>=I857+J857+K857+L857</f>
      </c>
      <c r="N857" s="24"/>
      <c r="O857" s="22"/>
    </row>
    <row collapsed="false" customFormat="false" customHeight="false" hidden="false" ht="12.1" outlineLevel="0" r="858">
      <c r="A858" s="21" t="n">
        <v>45714.581469907</v>
      </c>
      <c r="B858" s="22" t="s">
        <v>1063</v>
      </c>
      <c r="C858" s="22" t="s">
        <v>1261</v>
      </c>
      <c r="D858" s="22" t="s">
        <v>1063</v>
      </c>
      <c r="E858" s="22" t="s">
        <v>1063</v>
      </c>
      <c r="F858" s="22" t="s">
        <v>19</v>
      </c>
      <c r="G858" s="23" t="n">
        <v>1</v>
      </c>
      <c r="H858" s="24" t="n">
        <v>1</v>
      </c>
      <c r="I858" s="24" t="n">
        <v>74.79</v>
      </c>
      <c r="J858" s="24" t="n">
        <v>0</v>
      </c>
      <c r="K858" s="24" t="n">
        <v>0</v>
      </c>
      <c r="L858" s="24" t="n">
        <v>0</v>
      </c>
      <c r="M858" s="6" t="s">
        <f>=I858+J858+K858+L858</f>
      </c>
      <c r="N858" s="24"/>
      <c r="O858" s="22"/>
    </row>
    <row collapsed="false" customFormat="false" customHeight="false" hidden="false" ht="12.1" outlineLevel="0" r="859">
      <c r="A859" s="21" t="n">
        <v>45719.637708333</v>
      </c>
      <c r="B859" s="22" t="s">
        <v>1063</v>
      </c>
      <c r="C859" s="22" t="s">
        <v>1174</v>
      </c>
      <c r="D859" s="22" t="s">
        <v>1063</v>
      </c>
      <c r="E859" s="22" t="s">
        <v>1063</v>
      </c>
      <c r="F859" s="22" t="s">
        <v>19</v>
      </c>
      <c r="G859" s="23" t="n">
        <v>1</v>
      </c>
      <c r="H859" s="24" t="n">
        <v>1</v>
      </c>
      <c r="I859" s="24" t="n">
        <v>37.64</v>
      </c>
      <c r="J859" s="24" t="n">
        <v>0</v>
      </c>
      <c r="K859" s="24" t="n">
        <v>0</v>
      </c>
      <c r="L859" s="24" t="n">
        <v>0</v>
      </c>
      <c r="M859" s="6" t="s">
        <f>=I859+J859+K859+L859</f>
      </c>
      <c r="N859" s="24"/>
      <c r="O859" s="22"/>
    </row>
    <row collapsed="false" customFormat="false" customHeight="false" hidden="false" ht="12.1" outlineLevel="0" r="860">
      <c r="A860" s="21" t="n">
        <v>45719.63837963</v>
      </c>
      <c r="B860" s="22" t="s">
        <v>1063</v>
      </c>
      <c r="C860" s="22" t="s">
        <v>1105</v>
      </c>
      <c r="D860" s="22" t="s">
        <v>1063</v>
      </c>
      <c r="E860" s="22" t="s">
        <v>1063</v>
      </c>
      <c r="F860" s="22" t="s">
        <v>19</v>
      </c>
      <c r="G860" s="23" t="n">
        <v>1</v>
      </c>
      <c r="H860" s="24" t="n">
        <v>1</v>
      </c>
      <c r="I860" s="24" t="n">
        <v>24.81</v>
      </c>
      <c r="J860" s="24" t="n">
        <v>0</v>
      </c>
      <c r="K860" s="24" t="n">
        <v>0</v>
      </c>
      <c r="L860" s="24" t="n">
        <v>0</v>
      </c>
      <c r="M860" s="6" t="s">
        <f>=I860+J860+K860+L860</f>
      </c>
      <c r="N860" s="24"/>
      <c r="O860" s="22"/>
    </row>
    <row collapsed="false" customFormat="false" customHeight="false" hidden="false" ht="12.1" outlineLevel="0" r="861">
      <c r="A861" s="21" t="n">
        <v>45720.419386574</v>
      </c>
      <c r="B861" s="22" t="s">
        <v>1063</v>
      </c>
      <c r="C861" s="22" t="s">
        <v>1218</v>
      </c>
      <c r="D861" s="22" t="s">
        <v>1063</v>
      </c>
      <c r="E861" s="22" t="s">
        <v>1063</v>
      </c>
      <c r="F861" s="22" t="s">
        <v>19</v>
      </c>
      <c r="G861" s="23" t="n">
        <v>1</v>
      </c>
      <c r="H861" s="24" t="n">
        <v>1</v>
      </c>
      <c r="I861" s="24" t="n">
        <v>39.9</v>
      </c>
      <c r="J861" s="24" t="n">
        <v>0</v>
      </c>
      <c r="K861" s="24" t="n">
        <v>0</v>
      </c>
      <c r="L861" s="24" t="n">
        <v>0</v>
      </c>
      <c r="M861" s="6" t="s">
        <f>=I861+J861+K861+L861</f>
      </c>
      <c r="N861" s="24"/>
      <c r="O861" s="22"/>
    </row>
    <row collapsed="false" customFormat="false" customHeight="false" hidden="false" ht="12.1" outlineLevel="0" r="862">
      <c r="A862" s="21" t="n">
        <v>45721.587916667</v>
      </c>
      <c r="B862" s="22" t="s">
        <v>1063</v>
      </c>
      <c r="C862" s="22" t="s">
        <v>1263</v>
      </c>
      <c r="D862" s="22" t="s">
        <v>1063</v>
      </c>
      <c r="E862" s="22" t="s">
        <v>1063</v>
      </c>
      <c r="F862" s="22" t="s">
        <v>19</v>
      </c>
      <c r="G862" s="23" t="n">
        <v>1</v>
      </c>
      <c r="H862" s="24" t="n">
        <v>1</v>
      </c>
      <c r="I862" s="24" t="n">
        <v>29.17</v>
      </c>
      <c r="J862" s="24" t="n">
        <v>0</v>
      </c>
      <c r="K862" s="24" t="n">
        <v>0</v>
      </c>
      <c r="L862" s="24" t="n">
        <v>0</v>
      </c>
      <c r="M862" s="6" t="s">
        <f>=I862+J862+K862+L862</f>
      </c>
      <c r="N862" s="24"/>
      <c r="O862" s="22"/>
    </row>
    <row collapsed="false" customFormat="false" customHeight="false" hidden="false" ht="12.1" outlineLevel="0" r="863">
      <c r="A863" s="21" t="n">
        <v>45722.410949074</v>
      </c>
      <c r="B863" s="22" t="s">
        <v>1063</v>
      </c>
      <c r="C863" s="22" t="s">
        <v>1240</v>
      </c>
      <c r="D863" s="22" t="s">
        <v>1063</v>
      </c>
      <c r="E863" s="22" t="s">
        <v>1063</v>
      </c>
      <c r="F863" s="22" t="s">
        <v>19</v>
      </c>
      <c r="G863" s="23" t="n">
        <v>1</v>
      </c>
      <c r="H863" s="24" t="n">
        <v>1</v>
      </c>
      <c r="I863" s="24" t="n">
        <v>179.52</v>
      </c>
      <c r="J863" s="24" t="n">
        <v>0</v>
      </c>
      <c r="K863" s="24" t="n">
        <v>0</v>
      </c>
      <c r="L863" s="24" t="n">
        <v>0</v>
      </c>
      <c r="M863" s="6" t="s">
        <f>=I863+J863+K863+L863</f>
      </c>
      <c r="N863" s="24"/>
      <c r="O863" s="22"/>
    </row>
    <row collapsed="false" customFormat="false" customHeight="false" hidden="false" ht="12.1" outlineLevel="0" r="864">
      <c r="A864" s="21" t="n">
        <v>45722.43587963</v>
      </c>
      <c r="B864" s="22" t="s">
        <v>1063</v>
      </c>
      <c r="C864" s="22" t="s">
        <v>1123</v>
      </c>
      <c r="D864" s="22" t="s">
        <v>1063</v>
      </c>
      <c r="E864" s="22" t="s">
        <v>1063</v>
      </c>
      <c r="F864" s="22" t="s">
        <v>19</v>
      </c>
      <c r="G864" s="23" t="n">
        <v>1</v>
      </c>
      <c r="H864" s="24" t="n">
        <v>1</v>
      </c>
      <c r="I864" s="24" t="n">
        <v>87.01</v>
      </c>
      <c r="J864" s="24" t="n">
        <v>0</v>
      </c>
      <c r="K864" s="24" t="n">
        <v>0</v>
      </c>
      <c r="L864" s="24" t="n">
        <v>0</v>
      </c>
      <c r="M864" s="6" t="s">
        <f>=I864+J864+K864+L864</f>
      </c>
      <c r="N864" s="24"/>
      <c r="O864" s="22"/>
    </row>
    <row collapsed="false" customFormat="false" customHeight="false" hidden="false" ht="12.1" outlineLevel="0" r="865">
      <c r="A865" s="21" t="n">
        <v>45722.660231481</v>
      </c>
      <c r="B865" s="22" t="s">
        <v>1063</v>
      </c>
      <c r="C865" s="22" t="s">
        <v>1106</v>
      </c>
      <c r="D865" s="22" t="s">
        <v>1063</v>
      </c>
      <c r="E865" s="22" t="s">
        <v>1063</v>
      </c>
      <c r="F865" s="22" t="s">
        <v>19</v>
      </c>
      <c r="G865" s="23" t="n">
        <v>1</v>
      </c>
      <c r="H865" s="24" t="n">
        <v>1</v>
      </c>
      <c r="I865" s="24" t="n">
        <v>19.87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4"/>
      <c r="O865" s="22"/>
    </row>
    <row collapsed="false" customFormat="false" customHeight="false" hidden="false" ht="12.1" outlineLevel="0" r="866">
      <c r="A866" s="21" t="n">
        <v>45722.663333333</v>
      </c>
      <c r="B866" s="22" t="s">
        <v>1063</v>
      </c>
      <c r="C866" s="22" t="s">
        <v>1266</v>
      </c>
      <c r="D866" s="22" t="s">
        <v>1063</v>
      </c>
      <c r="E866" s="22" t="s">
        <v>1063</v>
      </c>
      <c r="F866" s="22" t="s">
        <v>19</v>
      </c>
      <c r="G866" s="23" t="n">
        <v>1</v>
      </c>
      <c r="H866" s="24" t="n">
        <v>1</v>
      </c>
      <c r="I866" s="24" t="n">
        <v>19.55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4"/>
      <c r="O866" s="22"/>
    </row>
    <row collapsed="false" customFormat="false" customHeight="false" hidden="false" ht="12.1" outlineLevel="0" r="867">
      <c r="A867" s="21" t="n">
        <v>45723.506493056</v>
      </c>
      <c r="B867" s="22" t="s">
        <v>1063</v>
      </c>
      <c r="C867" s="22" t="s">
        <v>1206</v>
      </c>
      <c r="D867" s="22" t="s">
        <v>1063</v>
      </c>
      <c r="E867" s="22" t="s">
        <v>1063</v>
      </c>
      <c r="F867" s="22" t="s">
        <v>19</v>
      </c>
      <c r="G867" s="23" t="n">
        <v>1</v>
      </c>
      <c r="H867" s="24" t="n">
        <v>1</v>
      </c>
      <c r="I867" s="24" t="n">
        <v>8.15</v>
      </c>
      <c r="J867" s="24" t="n">
        <v>0</v>
      </c>
      <c r="K867" s="24" t="n">
        <v>0</v>
      </c>
      <c r="L867" s="24" t="n">
        <v>0</v>
      </c>
      <c r="M867" s="6" t="s">
        <f>=I867+J867+K867+L867</f>
      </c>
      <c r="N867" s="24"/>
      <c r="O867" s="22"/>
    </row>
    <row collapsed="false" customFormat="false" customHeight="false" hidden="false" ht="12.1" outlineLevel="0" r="868">
      <c r="A868" s="21" t="n">
        <v>45723.507372685</v>
      </c>
      <c r="B868" s="22" t="s">
        <v>1073</v>
      </c>
      <c r="C868" s="22" t="s">
        <v>1205</v>
      </c>
      <c r="D868" s="22" t="s">
        <v>1073</v>
      </c>
      <c r="E868" s="22" t="s">
        <v>1073</v>
      </c>
      <c r="F868" s="22" t="s">
        <v>19</v>
      </c>
      <c r="G868" s="23" t="n">
        <v>1</v>
      </c>
      <c r="H868" s="24" t="n">
        <v>1</v>
      </c>
      <c r="I868" s="24" t="n">
        <v>67</v>
      </c>
      <c r="J868" s="24" t="n">
        <v>0</v>
      </c>
      <c r="K868" s="24" t="n">
        <v>0</v>
      </c>
      <c r="L868" s="24" t="n">
        <v>0</v>
      </c>
      <c r="M868" s="6" t="s">
        <f>=I868+J868+K868+L868</f>
      </c>
      <c r="N868" s="24"/>
      <c r="O868" s="22"/>
    </row>
    <row collapsed="false" customFormat="false" customHeight="false" hidden="false" ht="12.1" outlineLevel="0" r="869">
      <c r="A869" s="21" t="n">
        <v>45723.548414352</v>
      </c>
      <c r="B869" s="22" t="s">
        <v>1063</v>
      </c>
      <c r="C869" s="22" t="s">
        <v>1267</v>
      </c>
      <c r="D869" s="22" t="s">
        <v>1063</v>
      </c>
      <c r="E869" s="22" t="s">
        <v>1063</v>
      </c>
      <c r="F869" s="22" t="s">
        <v>19</v>
      </c>
      <c r="G869" s="23" t="n">
        <v>1</v>
      </c>
      <c r="H869" s="24" t="n">
        <v>1</v>
      </c>
      <c r="I869" s="24" t="n">
        <v>35.53</v>
      </c>
      <c r="J869" s="24" t="n">
        <v>0</v>
      </c>
      <c r="K869" s="24" t="n">
        <v>0</v>
      </c>
      <c r="L869" s="24" t="n">
        <v>0</v>
      </c>
      <c r="M869" s="6" t="s">
        <f>=I869+J869+K869+L869</f>
      </c>
      <c r="N869" s="24"/>
      <c r="O869" s="22"/>
    </row>
    <row collapsed="false" customFormat="false" customHeight="false" hidden="false" ht="12.1" outlineLevel="0" r="870">
      <c r="A870" s="21" t="n">
        <v>45729.5103125</v>
      </c>
      <c r="B870" s="22" t="s">
        <v>1056</v>
      </c>
      <c r="C870" s="22" t="s">
        <v>350</v>
      </c>
      <c r="D870" s="22" t="s">
        <v>1056</v>
      </c>
      <c r="E870" s="22" t="s">
        <v>1056</v>
      </c>
      <c r="F870" s="22" t="s">
        <v>19</v>
      </c>
      <c r="G870" s="23" t="n">
        <v>1</v>
      </c>
      <c r="H870" s="24" t="n">
        <v>1</v>
      </c>
      <c r="I870" s="24" t="n">
        <v>5000</v>
      </c>
      <c r="J870" s="24" t="n">
        <v>0</v>
      </c>
      <c r="K870" s="24" t="n">
        <v>0</v>
      </c>
      <c r="L870" s="24" t="n">
        <v>0</v>
      </c>
      <c r="M870" s="6" t="s">
        <f>=I870+J870+K870+L870</f>
      </c>
      <c r="N870" s="24"/>
      <c r="O870" s="22"/>
    </row>
    <row collapsed="false" customFormat="false" customHeight="false" hidden="false" ht="12.1" outlineLevel="0" r="871">
      <c r="A871" s="21" t="n">
        <v>45729.514479167</v>
      </c>
      <c r="B871" s="22" t="s">
        <v>1056</v>
      </c>
      <c r="C871" s="22" t="s">
        <v>350</v>
      </c>
      <c r="D871" s="22" t="s">
        <v>1056</v>
      </c>
      <c r="E871" s="22" t="s">
        <v>1056</v>
      </c>
      <c r="F871" s="22" t="s">
        <v>19</v>
      </c>
      <c r="G871" s="23" t="n">
        <v>1</v>
      </c>
      <c r="H871" s="24" t="n">
        <v>1</v>
      </c>
      <c r="I871" s="24" t="n">
        <v>6600</v>
      </c>
      <c r="J871" s="24" t="n">
        <v>0</v>
      </c>
      <c r="K871" s="24" t="n">
        <v>0</v>
      </c>
      <c r="L871" s="24" t="n">
        <v>0</v>
      </c>
      <c r="M871" s="6" t="s">
        <f>=I871+J871+K871+L871</f>
      </c>
      <c r="N871" s="24"/>
      <c r="O871" s="22"/>
    </row>
    <row collapsed="false" customFormat="false" customHeight="false" hidden="false" ht="12.1" outlineLevel="0" r="872">
      <c r="A872" s="20" t="n">
        <v>45729.515115741</v>
      </c>
      <c r="B872" s="16" t="s">
        <v>36</v>
      </c>
      <c r="C872" s="16" t="s">
        <v>1122</v>
      </c>
      <c r="D872" s="16" t="s">
        <v>912</v>
      </c>
      <c r="E872" s="16" t="s">
        <v>17</v>
      </c>
      <c r="F872" s="16" t="s">
        <v>19</v>
      </c>
      <c r="G872" s="7" t="n">
        <v>10</v>
      </c>
      <c r="H872" s="6" t="n">
        <v>209.25</v>
      </c>
      <c r="I872" s="6" t="n">
        <v>-2092.5</v>
      </c>
      <c r="J872" s="6" t="n">
        <v>0</v>
      </c>
      <c r="K872" s="6" t="n">
        <v>-6.28</v>
      </c>
      <c r="L872" s="6" t="n">
        <v>0</v>
      </c>
      <c r="M872" s="6" t="s">
        <f>=I872+J872+K872+L872</f>
      </c>
      <c r="N872" s="6"/>
      <c r="O872" s="16"/>
    </row>
    <row collapsed="false" customFormat="false" customHeight="false" hidden="false" ht="12.1" outlineLevel="0" r="873">
      <c r="A873" s="20" t="n">
        <v>45729.515590278</v>
      </c>
      <c r="B873" s="16" t="s">
        <v>51</v>
      </c>
      <c r="C873" s="16" t="s">
        <v>1071</v>
      </c>
      <c r="D873" s="16" t="s">
        <v>912</v>
      </c>
      <c r="E873" s="16" t="s">
        <v>17</v>
      </c>
      <c r="F873" s="16" t="s">
        <v>19</v>
      </c>
      <c r="G873" s="7" t="n">
        <v>20</v>
      </c>
      <c r="H873" s="6" t="n">
        <v>88.97</v>
      </c>
      <c r="I873" s="6" t="n">
        <v>-1779.4</v>
      </c>
      <c r="J873" s="6" t="n">
        <v>0</v>
      </c>
      <c r="K873" s="6" t="n">
        <v>-5.34</v>
      </c>
      <c r="L873" s="6" t="n">
        <v>0</v>
      </c>
      <c r="M873" s="6" t="s">
        <f>=I873+J873+K873+L873</f>
      </c>
      <c r="N873" s="6"/>
      <c r="O873" s="16"/>
    </row>
    <row collapsed="false" customFormat="false" customHeight="false" hidden="false" ht="12.1" outlineLevel="0" r="874">
      <c r="A874" s="29" t="n">
        <v>45729.516076389</v>
      </c>
      <c r="B874" s="30" t="s">
        <v>928</v>
      </c>
      <c r="C874" s="30" t="s">
        <v>1157</v>
      </c>
      <c r="D874" s="30" t="s">
        <v>938</v>
      </c>
      <c r="E874" s="30" t="s">
        <v>17</v>
      </c>
      <c r="F874" s="30" t="s">
        <v>19</v>
      </c>
      <c r="G874" s="31" t="n">
        <v>-100</v>
      </c>
      <c r="H874" s="32" t="n">
        <v>1.728</v>
      </c>
      <c r="I874" s="32" t="n">
        <v>172.8</v>
      </c>
      <c r="J874" s="32" t="n">
        <v>0</v>
      </c>
      <c r="K874" s="32" t="n">
        <v>-0.52</v>
      </c>
      <c r="L874" s="32" t="n">
        <v>0</v>
      </c>
      <c r="M874" s="6" t="s">
        <f>=I874+J874+K874+L874</f>
      </c>
      <c r="N874" s="32"/>
      <c r="O874" s="30"/>
    </row>
    <row collapsed="false" customFormat="false" customHeight="false" hidden="false" ht="12.1" outlineLevel="0" r="875">
      <c r="A875" s="20" t="n">
        <v>45729.517210648</v>
      </c>
      <c r="B875" s="16" t="s">
        <v>33</v>
      </c>
      <c r="C875" s="16" t="s">
        <v>1078</v>
      </c>
      <c r="D875" s="16" t="s">
        <v>912</v>
      </c>
      <c r="E875" s="16" t="s">
        <v>17</v>
      </c>
      <c r="F875" s="16" t="s">
        <v>19</v>
      </c>
      <c r="G875" s="7" t="n">
        <v>10</v>
      </c>
      <c r="H875" s="6" t="n">
        <v>163.93</v>
      </c>
      <c r="I875" s="6" t="n">
        <v>-1639.3</v>
      </c>
      <c r="J875" s="6" t="n">
        <v>0</v>
      </c>
      <c r="K875" s="6" t="n">
        <v>-4.92</v>
      </c>
      <c r="L875" s="6" t="n">
        <v>0</v>
      </c>
      <c r="M875" s="6" t="s">
        <f>=I875+J875+K875+L875</f>
      </c>
      <c r="N875" s="6"/>
      <c r="O875" s="16"/>
    </row>
    <row collapsed="false" customFormat="false" customHeight="false" hidden="false" ht="12.1" outlineLevel="0" r="876">
      <c r="A876" s="20" t="n">
        <v>45729.517511574</v>
      </c>
      <c r="B876" s="16" t="s">
        <v>39</v>
      </c>
      <c r="C876" s="16" t="s">
        <v>1079</v>
      </c>
      <c r="D876" s="16" t="s">
        <v>912</v>
      </c>
      <c r="E876" s="16" t="s">
        <v>17</v>
      </c>
      <c r="F876" s="16" t="s">
        <v>19</v>
      </c>
      <c r="G876" s="7" t="n">
        <v>1</v>
      </c>
      <c r="H876" s="6" t="n">
        <v>695.1</v>
      </c>
      <c r="I876" s="6" t="n">
        <v>-695.1</v>
      </c>
      <c r="J876" s="6" t="n">
        <v>0</v>
      </c>
      <c r="K876" s="6" t="n">
        <v>-2.09</v>
      </c>
      <c r="L876" s="6" t="n">
        <v>0</v>
      </c>
      <c r="M876" s="6" t="s">
        <f>=I876+J876+K876+L876</f>
      </c>
      <c r="N876" s="6"/>
      <c r="O876" s="16"/>
    </row>
    <row collapsed="false" customFormat="false" customHeight="false" hidden="false" ht="12.1" outlineLevel="0" r="877">
      <c r="A877" s="20" t="n">
        <v>45729.517893519</v>
      </c>
      <c r="B877" s="16" t="s">
        <v>75</v>
      </c>
      <c r="C877" s="16" t="s">
        <v>1288</v>
      </c>
      <c r="D877" s="16" t="s">
        <v>912</v>
      </c>
      <c r="E877" s="16" t="s">
        <v>17</v>
      </c>
      <c r="F877" s="16" t="s">
        <v>19</v>
      </c>
      <c r="G877" s="7" t="n">
        <v>10</v>
      </c>
      <c r="H877" s="6" t="n">
        <v>154.94</v>
      </c>
      <c r="I877" s="6" t="n">
        <v>-1549.4</v>
      </c>
      <c r="J877" s="6" t="n">
        <v>0</v>
      </c>
      <c r="K877" s="6" t="n">
        <v>-4.65</v>
      </c>
      <c r="L877" s="6" t="n">
        <v>0</v>
      </c>
      <c r="M877" s="6" t="s">
        <f>=I877+J877+K877+L877</f>
      </c>
      <c r="N877" s="6"/>
      <c r="O877" s="16"/>
    </row>
    <row collapsed="false" customFormat="false" customHeight="false" hidden="false" ht="12.1" outlineLevel="0" r="878">
      <c r="A878" s="20" t="n">
        <v>45729.52537037</v>
      </c>
      <c r="B878" s="16" t="s">
        <v>217</v>
      </c>
      <c r="C878" s="16" t="s">
        <v>1289</v>
      </c>
      <c r="D878" s="16" t="s">
        <v>912</v>
      </c>
      <c r="E878" s="16" t="s">
        <v>85</v>
      </c>
      <c r="F878" s="16" t="s">
        <v>19</v>
      </c>
      <c r="G878" s="7" t="n">
        <v>1</v>
      </c>
      <c r="H878" s="6" t="n">
        <v>76.46</v>
      </c>
      <c r="I878" s="6" t="n">
        <v>-764.6</v>
      </c>
      <c r="J878" s="6" t="n">
        <v>-16.16</v>
      </c>
      <c r="K878" s="6" t="n">
        <v>-2.29</v>
      </c>
      <c r="L878" s="6" t="n">
        <v>0</v>
      </c>
      <c r="M878" s="6" t="s">
        <f>=I878+J878+K878+L878</f>
      </c>
      <c r="N878" s="6"/>
      <c r="O878" s="16"/>
    </row>
    <row collapsed="false" customFormat="false" customHeight="false" hidden="false" ht="12.1" outlineLevel="0" r="879">
      <c r="A879" s="20" t="n">
        <v>45729.525717593</v>
      </c>
      <c r="B879" s="16" t="s">
        <v>269</v>
      </c>
      <c r="C879" s="16" t="s">
        <v>1290</v>
      </c>
      <c r="D879" s="16" t="s">
        <v>912</v>
      </c>
      <c r="E879" s="16" t="s">
        <v>85</v>
      </c>
      <c r="F879" s="16" t="s">
        <v>19</v>
      </c>
      <c r="G879" s="7" t="n">
        <v>1</v>
      </c>
      <c r="H879" s="6" t="n">
        <v>84.36</v>
      </c>
      <c r="I879" s="6" t="n">
        <v>-843.6</v>
      </c>
      <c r="J879" s="6" t="n">
        <v>-48.33</v>
      </c>
      <c r="K879" s="6" t="n">
        <v>-2.53</v>
      </c>
      <c r="L879" s="6" t="n">
        <v>0</v>
      </c>
      <c r="M879" s="6" t="s">
        <f>=I879+J879+K879+L879</f>
      </c>
      <c r="N879" s="6"/>
      <c r="O879" s="16"/>
    </row>
    <row collapsed="false" customFormat="false" customHeight="false" hidden="false" ht="12.1" outlineLevel="0" r="880">
      <c r="A880" s="20" t="n">
        <v>45729.526099537</v>
      </c>
      <c r="B880" s="16" t="s">
        <v>284</v>
      </c>
      <c r="C880" s="16" t="s">
        <v>1291</v>
      </c>
      <c r="D880" s="16" t="s">
        <v>912</v>
      </c>
      <c r="E880" s="16" t="s">
        <v>85</v>
      </c>
      <c r="F880" s="16" t="s">
        <v>19</v>
      </c>
      <c r="G880" s="7" t="n">
        <v>1</v>
      </c>
      <c r="H880" s="6" t="n">
        <v>87.1</v>
      </c>
      <c r="I880" s="6" t="n">
        <v>-871</v>
      </c>
      <c r="J880" s="6" t="n">
        <v>-43.25</v>
      </c>
      <c r="K880" s="6" t="n">
        <v>-2.61</v>
      </c>
      <c r="L880" s="6" t="n">
        <v>0</v>
      </c>
      <c r="M880" s="6" t="s">
        <f>=I880+J880+K880+L880</f>
      </c>
      <c r="N880" s="6"/>
      <c r="O880" s="16"/>
    </row>
    <row collapsed="false" customFormat="false" customHeight="false" hidden="false" ht="12.1" outlineLevel="0" r="881">
      <c r="A881" s="20" t="n">
        <v>45729.526574074</v>
      </c>
      <c r="B881" s="16" t="s">
        <v>302</v>
      </c>
      <c r="C881" s="16" t="s">
        <v>1292</v>
      </c>
      <c r="D881" s="16" t="s">
        <v>912</v>
      </c>
      <c r="E881" s="16" t="s">
        <v>85</v>
      </c>
      <c r="F881" s="16" t="s">
        <v>19</v>
      </c>
      <c r="G881" s="7" t="n">
        <v>1</v>
      </c>
      <c r="H881" s="6" t="n">
        <v>84.26</v>
      </c>
      <c r="I881" s="6" t="n">
        <v>-842.6</v>
      </c>
      <c r="J881" s="6" t="n">
        <v>-15.93</v>
      </c>
      <c r="K881" s="6" t="n">
        <v>-2.53</v>
      </c>
      <c r="L881" s="6" t="n">
        <v>0</v>
      </c>
      <c r="M881" s="6" t="s">
        <f>=I881+J881+K881+L881</f>
      </c>
      <c r="N881" s="6"/>
      <c r="O881" s="16"/>
    </row>
    <row collapsed="false" customFormat="false" customHeight="false" hidden="false" ht="12.1" outlineLevel="0" r="882">
      <c r="A882" s="20" t="n">
        <v>45729.526979167</v>
      </c>
      <c r="B882" s="16" t="s">
        <v>237</v>
      </c>
      <c r="C882" s="16" t="s">
        <v>1293</v>
      </c>
      <c r="D882" s="16" t="s">
        <v>912</v>
      </c>
      <c r="E882" s="16" t="s">
        <v>85</v>
      </c>
      <c r="F882" s="16" t="s">
        <v>19</v>
      </c>
      <c r="G882" s="7" t="n">
        <v>1</v>
      </c>
      <c r="H882" s="6" t="n">
        <v>102</v>
      </c>
      <c r="I882" s="6" t="n">
        <v>-1020</v>
      </c>
      <c r="J882" s="6" t="n">
        <v>-79.6</v>
      </c>
      <c r="K882" s="6" t="n">
        <v>-3.06</v>
      </c>
      <c r="L882" s="6" t="n">
        <v>0</v>
      </c>
      <c r="M882" s="6" t="s">
        <f>=I882+J882+K882+L882</f>
      </c>
      <c r="N882" s="6"/>
      <c r="O882" s="16"/>
    </row>
    <row collapsed="false" customFormat="false" customHeight="false" hidden="false" ht="12.1" outlineLevel="0" r="883">
      <c r="A883" s="21" t="n">
        <v>45733.536284722</v>
      </c>
      <c r="B883" s="22" t="s">
        <v>1063</v>
      </c>
      <c r="C883" s="22" t="s">
        <v>1294</v>
      </c>
      <c r="D883" s="22" t="s">
        <v>1063</v>
      </c>
      <c r="E883" s="22" t="s">
        <v>1063</v>
      </c>
      <c r="F883" s="22" t="s">
        <v>19</v>
      </c>
      <c r="G883" s="23" t="n">
        <v>1</v>
      </c>
      <c r="H883" s="24" t="n">
        <v>1</v>
      </c>
      <c r="I883" s="24" t="n">
        <v>35.66</v>
      </c>
      <c r="J883" s="24" t="n">
        <v>0</v>
      </c>
      <c r="K883" s="24" t="n">
        <v>0</v>
      </c>
      <c r="L883" s="24" t="n">
        <v>0</v>
      </c>
      <c r="M883" s="6" t="s">
        <f>=I883+J883+K883+L883</f>
      </c>
      <c r="N883" s="24"/>
      <c r="O883" s="22"/>
    </row>
    <row collapsed="false" customFormat="false" customHeight="false" hidden="false" ht="12.1" outlineLevel="0" r="884">
      <c r="A884" s="21" t="n">
        <v>45735.545590278</v>
      </c>
      <c r="B884" s="22" t="s">
        <v>1063</v>
      </c>
      <c r="C884" s="22" t="s">
        <v>1126</v>
      </c>
      <c r="D884" s="22" t="s">
        <v>1063</v>
      </c>
      <c r="E884" s="22" t="s">
        <v>1063</v>
      </c>
      <c r="F884" s="22" t="s">
        <v>19</v>
      </c>
      <c r="G884" s="23" t="n">
        <v>1</v>
      </c>
      <c r="H884" s="24" t="n">
        <v>1</v>
      </c>
      <c r="I884" s="24" t="n">
        <v>39.39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4"/>
      <c r="O884" s="22"/>
    </row>
    <row collapsed="false" customFormat="false" customHeight="false" hidden="false" ht="12.1" outlineLevel="0" r="885">
      <c r="A885" s="21" t="n">
        <v>45736.5271875</v>
      </c>
      <c r="B885" s="22" t="s">
        <v>1063</v>
      </c>
      <c r="C885" s="22" t="s">
        <v>1085</v>
      </c>
      <c r="D885" s="22" t="s">
        <v>1063</v>
      </c>
      <c r="E885" s="22" t="s">
        <v>1063</v>
      </c>
      <c r="F885" s="22" t="s">
        <v>19</v>
      </c>
      <c r="G885" s="23" t="n">
        <v>1</v>
      </c>
      <c r="H885" s="24" t="n">
        <v>1</v>
      </c>
      <c r="I885" s="24" t="n">
        <v>411.88</v>
      </c>
      <c r="J885" s="24" t="n">
        <v>0</v>
      </c>
      <c r="K885" s="24" t="n">
        <v>0</v>
      </c>
      <c r="L885" s="24" t="n">
        <v>0</v>
      </c>
      <c r="M885" s="6" t="s">
        <f>=I885+J885+K885+L885</f>
      </c>
      <c r="N885" s="24"/>
      <c r="O885" s="22"/>
    </row>
    <row collapsed="false" customFormat="false" customHeight="false" hidden="false" ht="12.1" outlineLevel="0" r="886">
      <c r="A886" s="21" t="n">
        <v>45741.604328704</v>
      </c>
      <c r="B886" s="22" t="s">
        <v>1063</v>
      </c>
      <c r="C886" s="22" t="s">
        <v>1251</v>
      </c>
      <c r="D886" s="22" t="s">
        <v>1063</v>
      </c>
      <c r="E886" s="22" t="s">
        <v>1063</v>
      </c>
      <c r="F886" s="22" t="s">
        <v>19</v>
      </c>
      <c r="G886" s="23" t="n">
        <v>1</v>
      </c>
      <c r="H886" s="24" t="n">
        <v>1</v>
      </c>
      <c r="I886" s="24" t="n">
        <v>11.18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4"/>
      <c r="O886" s="22"/>
    </row>
    <row collapsed="false" customFormat="false" customHeight="false" hidden="false" ht="12.1" outlineLevel="0" r="887">
      <c r="A887" s="21" t="n">
        <v>45741.619259259</v>
      </c>
      <c r="B887" s="22" t="s">
        <v>1063</v>
      </c>
      <c r="C887" s="22" t="s">
        <v>1295</v>
      </c>
      <c r="D887" s="22" t="s">
        <v>1063</v>
      </c>
      <c r="E887" s="22" t="s">
        <v>1063</v>
      </c>
      <c r="F887" s="22" t="s">
        <v>19</v>
      </c>
      <c r="G887" s="23" t="n">
        <v>1</v>
      </c>
      <c r="H887" s="24" t="n">
        <v>1</v>
      </c>
      <c r="I887" s="24" t="n">
        <v>90.76</v>
      </c>
      <c r="J887" s="24" t="n">
        <v>0</v>
      </c>
      <c r="K887" s="24" t="n">
        <v>0</v>
      </c>
      <c r="L887" s="24" t="n">
        <v>0</v>
      </c>
      <c r="M887" s="6" t="s">
        <f>=I887+J887+K887+L887</f>
      </c>
      <c r="N887" s="24"/>
      <c r="O887" s="22"/>
    </row>
    <row collapsed="false" customFormat="false" customHeight="false" hidden="false" ht="12.1" outlineLevel="0" r="888">
      <c r="A888" s="21" t="n">
        <v>45742.430509259</v>
      </c>
      <c r="B888" s="22" t="s">
        <v>1063</v>
      </c>
      <c r="C888" s="22" t="s">
        <v>1176</v>
      </c>
      <c r="D888" s="22" t="s">
        <v>1063</v>
      </c>
      <c r="E888" s="22" t="s">
        <v>1063</v>
      </c>
      <c r="F888" s="22" t="s">
        <v>19</v>
      </c>
      <c r="G888" s="23" t="n">
        <v>1</v>
      </c>
      <c r="H888" s="24" t="n">
        <v>1</v>
      </c>
      <c r="I888" s="24" t="n">
        <v>3.93</v>
      </c>
      <c r="J888" s="24" t="n">
        <v>0</v>
      </c>
      <c r="K888" s="24" t="n">
        <v>0</v>
      </c>
      <c r="L888" s="24" t="n">
        <v>0</v>
      </c>
      <c r="M888" s="6" t="s">
        <f>=I888+J888+K888+L888</f>
      </c>
      <c r="N888" s="24"/>
      <c r="O888" s="22"/>
    </row>
    <row collapsed="false" customFormat="false" customHeight="false" hidden="false" ht="12.1" outlineLevel="0" r="889">
      <c r="A889" s="21" t="n">
        <v>45742.449675926</v>
      </c>
      <c r="B889" s="22" t="s">
        <v>1073</v>
      </c>
      <c r="C889" s="22" t="s">
        <v>1296</v>
      </c>
      <c r="D889" s="22" t="s">
        <v>1073</v>
      </c>
      <c r="E889" s="22" t="s">
        <v>1073</v>
      </c>
      <c r="F889" s="22" t="s">
        <v>19</v>
      </c>
      <c r="G889" s="23" t="n">
        <v>1</v>
      </c>
      <c r="H889" s="24" t="n">
        <v>1</v>
      </c>
      <c r="I889" s="24" t="n">
        <v>150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4"/>
      <c r="O889" s="22"/>
    </row>
    <row collapsed="false" customFormat="false" customHeight="false" hidden="false" ht="12.1" outlineLevel="0" r="890">
      <c r="A890" s="21" t="n">
        <v>45742.749884259</v>
      </c>
      <c r="B890" s="22" t="s">
        <v>1063</v>
      </c>
      <c r="C890" s="22" t="s">
        <v>1297</v>
      </c>
      <c r="D890" s="22" t="s">
        <v>1063</v>
      </c>
      <c r="E890" s="22" t="s">
        <v>1063</v>
      </c>
      <c r="F890" s="22" t="s">
        <v>19</v>
      </c>
      <c r="G890" s="23" t="n">
        <v>1</v>
      </c>
      <c r="H890" s="24" t="n">
        <v>1</v>
      </c>
      <c r="I890" s="24" t="n">
        <v>299.2</v>
      </c>
      <c r="J890" s="24" t="n">
        <v>0</v>
      </c>
      <c r="K890" s="24" t="n">
        <v>0</v>
      </c>
      <c r="L890" s="24" t="n">
        <v>0</v>
      </c>
      <c r="M890" s="6" t="s">
        <f>=I890+J890+K890+L890</f>
      </c>
      <c r="N890" s="24"/>
      <c r="O890" s="22"/>
    </row>
    <row collapsed="false" customFormat="false" customHeight="false" hidden="false" ht="12.1" outlineLevel="0" r="891">
      <c r="A891" s="21" t="n">
        <v>45743.419722222</v>
      </c>
      <c r="B891" s="22" t="s">
        <v>1063</v>
      </c>
      <c r="C891" s="22" t="s">
        <v>1208</v>
      </c>
      <c r="D891" s="22" t="s">
        <v>1063</v>
      </c>
      <c r="E891" s="22" t="s">
        <v>1063</v>
      </c>
      <c r="F891" s="22" t="s">
        <v>19</v>
      </c>
      <c r="G891" s="23" t="n">
        <v>1</v>
      </c>
      <c r="H891" s="24" t="n">
        <v>1</v>
      </c>
      <c r="I891" s="24" t="n">
        <v>392.7</v>
      </c>
      <c r="J891" s="24" t="n">
        <v>0</v>
      </c>
      <c r="K891" s="24" t="n">
        <v>0</v>
      </c>
      <c r="L891" s="24" t="n">
        <v>0</v>
      </c>
      <c r="M891" s="6" t="s">
        <f>=I891+J891+K891+L891</f>
      </c>
      <c r="N891" s="24"/>
      <c r="O891" s="22"/>
    </row>
    <row collapsed="false" customFormat="false" customHeight="false" hidden="false" ht="12.1" outlineLevel="0" r="892">
      <c r="A892" s="21" t="n">
        <v>45743.488877315</v>
      </c>
      <c r="B892" s="22" t="s">
        <v>1063</v>
      </c>
      <c r="C892" s="22" t="s">
        <v>1235</v>
      </c>
      <c r="D892" s="22" t="s">
        <v>1063</v>
      </c>
      <c r="E892" s="22" t="s">
        <v>1063</v>
      </c>
      <c r="F892" s="22" t="s">
        <v>19</v>
      </c>
      <c r="G892" s="23" t="n">
        <v>1</v>
      </c>
      <c r="H892" s="24" t="n">
        <v>1</v>
      </c>
      <c r="I892" s="24" t="n">
        <v>36.32</v>
      </c>
      <c r="J892" s="24" t="n">
        <v>0</v>
      </c>
      <c r="K892" s="24" t="n">
        <v>0</v>
      </c>
      <c r="L892" s="24" t="n">
        <v>0</v>
      </c>
      <c r="M892" s="6" t="s">
        <f>=I892+J892+K892+L892</f>
      </c>
      <c r="N892" s="24"/>
      <c r="O892" s="22"/>
    </row>
    <row collapsed="false" customFormat="false" customHeight="false" hidden="false" ht="12.1" outlineLevel="0" r="893">
      <c r="A893" s="21" t="n">
        <v>45743.526921296</v>
      </c>
      <c r="B893" s="22" t="s">
        <v>1063</v>
      </c>
      <c r="C893" s="22" t="s">
        <v>1209</v>
      </c>
      <c r="D893" s="22" t="s">
        <v>1063</v>
      </c>
      <c r="E893" s="22" t="s">
        <v>1063</v>
      </c>
      <c r="F893" s="22" t="s">
        <v>19</v>
      </c>
      <c r="G893" s="23" t="n">
        <v>1</v>
      </c>
      <c r="H893" s="24" t="n">
        <v>1</v>
      </c>
      <c r="I893" s="24" t="n">
        <v>423.8</v>
      </c>
      <c r="J893" s="24" t="n">
        <v>0</v>
      </c>
      <c r="K893" s="24" t="n">
        <v>0</v>
      </c>
      <c r="L893" s="24" t="n">
        <v>0</v>
      </c>
      <c r="M893" s="6" t="s">
        <f>=I893+J893+K893+L893</f>
      </c>
      <c r="N893" s="24"/>
      <c r="O893" s="22"/>
    </row>
    <row collapsed="false" customFormat="false" customHeight="false" hidden="false" ht="12.1" outlineLevel="0" r="894">
      <c r="A894" s="21" t="n">
        <v>45743.5475</v>
      </c>
      <c r="B894" s="22" t="s">
        <v>1063</v>
      </c>
      <c r="C894" s="22" t="s">
        <v>1128</v>
      </c>
      <c r="D894" s="22" t="s">
        <v>1063</v>
      </c>
      <c r="E894" s="22" t="s">
        <v>1063</v>
      </c>
      <c r="F894" s="22" t="s">
        <v>19</v>
      </c>
      <c r="G894" s="23" t="n">
        <v>1</v>
      </c>
      <c r="H894" s="24" t="n">
        <v>1</v>
      </c>
      <c r="I894" s="24" t="n">
        <v>68.52</v>
      </c>
      <c r="J894" s="24" t="n">
        <v>0</v>
      </c>
      <c r="K894" s="24" t="n">
        <v>0</v>
      </c>
      <c r="L894" s="24" t="n">
        <v>0</v>
      </c>
      <c r="M894" s="6" t="s">
        <f>=I894+J894+K894+L894</f>
      </c>
      <c r="N894" s="24"/>
      <c r="O894" s="22"/>
    </row>
    <row collapsed="false" customFormat="false" customHeight="false" hidden="false" ht="12.1" outlineLevel="0" r="895">
      <c r="A895" s="21" t="n">
        <v>45747.474895833</v>
      </c>
      <c r="B895" s="22" t="s">
        <v>1063</v>
      </c>
      <c r="C895" s="22" t="s">
        <v>1298</v>
      </c>
      <c r="D895" s="22" t="s">
        <v>1063</v>
      </c>
      <c r="E895" s="22" t="s">
        <v>1063</v>
      </c>
      <c r="F895" s="22" t="s">
        <v>19</v>
      </c>
      <c r="G895" s="23" t="n">
        <v>1</v>
      </c>
      <c r="H895" s="24" t="n">
        <v>1</v>
      </c>
      <c r="I895" s="24" t="n">
        <v>52.36</v>
      </c>
      <c r="J895" s="24" t="n">
        <v>0</v>
      </c>
      <c r="K895" s="24" t="n">
        <v>0</v>
      </c>
      <c r="L895" s="24" t="n">
        <v>0</v>
      </c>
      <c r="M895" s="6" t="s">
        <f>=I895+J895+K895+L895</f>
      </c>
      <c r="N895" s="24"/>
      <c r="O895" s="22"/>
    </row>
    <row collapsed="false" customFormat="false" customHeight="false" hidden="false" ht="12.1" outlineLevel="0" r="896">
      <c r="A896" s="21" t="n">
        <v>45747.499525463</v>
      </c>
      <c r="B896" s="22" t="s">
        <v>1063</v>
      </c>
      <c r="C896" s="22" t="s">
        <v>1207</v>
      </c>
      <c r="D896" s="22" t="s">
        <v>1063</v>
      </c>
      <c r="E896" s="22" t="s">
        <v>1063</v>
      </c>
      <c r="F896" s="22" t="s">
        <v>19</v>
      </c>
      <c r="G896" s="23" t="n">
        <v>1</v>
      </c>
      <c r="H896" s="24" t="n">
        <v>1</v>
      </c>
      <c r="I896" s="24" t="n">
        <v>18.7</v>
      </c>
      <c r="J896" s="24" t="n">
        <v>0</v>
      </c>
      <c r="K896" s="24" t="n">
        <v>0</v>
      </c>
      <c r="L896" s="24" t="n">
        <v>0</v>
      </c>
      <c r="M896" s="6" t="s">
        <f>=I896+J896+K896+L896</f>
      </c>
      <c r="N896" s="24"/>
      <c r="O896" s="22"/>
    </row>
    <row collapsed="false" customFormat="false" customHeight="false" hidden="false" ht="12.1" outlineLevel="0" r="897">
      <c r="A897" s="21" t="n">
        <v>45748.536886574</v>
      </c>
      <c r="B897" s="22" t="s">
        <v>1063</v>
      </c>
      <c r="C897" s="22" t="s">
        <v>1174</v>
      </c>
      <c r="D897" s="22" t="s">
        <v>1063</v>
      </c>
      <c r="E897" s="22" t="s">
        <v>1063</v>
      </c>
      <c r="F897" s="22" t="s">
        <v>19</v>
      </c>
      <c r="G897" s="23" t="n">
        <v>1</v>
      </c>
      <c r="H897" s="24" t="n">
        <v>1</v>
      </c>
      <c r="I897" s="24" t="n">
        <v>37.72</v>
      </c>
      <c r="J897" s="24" t="n">
        <v>0</v>
      </c>
      <c r="K897" s="24" t="n">
        <v>0</v>
      </c>
      <c r="L897" s="24" t="n">
        <v>0</v>
      </c>
      <c r="M897" s="6" t="s">
        <f>=I897+J897+K897+L897</f>
      </c>
      <c r="N897" s="24"/>
      <c r="O897" s="22"/>
    </row>
    <row collapsed="false" customFormat="false" customHeight="false" hidden="false" ht="12.1" outlineLevel="0" r="898">
      <c r="A898" s="21" t="n">
        <v>45750.429351852</v>
      </c>
      <c r="B898" s="22" t="s">
        <v>1063</v>
      </c>
      <c r="C898" s="22" t="s">
        <v>1129</v>
      </c>
      <c r="D898" s="22" t="s">
        <v>1063</v>
      </c>
      <c r="E898" s="22" t="s">
        <v>1063</v>
      </c>
      <c r="F898" s="22" t="s">
        <v>19</v>
      </c>
      <c r="G898" s="23" t="n">
        <v>1</v>
      </c>
      <c r="H898" s="24" t="n">
        <v>1</v>
      </c>
      <c r="I898" s="24" t="n">
        <v>345.51</v>
      </c>
      <c r="J898" s="24" t="n">
        <v>0</v>
      </c>
      <c r="K898" s="24" t="n">
        <v>0</v>
      </c>
      <c r="L898" s="24" t="n">
        <v>0</v>
      </c>
      <c r="M898" s="6" t="s">
        <f>=I898+J898+K898+L898</f>
      </c>
      <c r="N898" s="24"/>
      <c r="O898" s="22"/>
    </row>
    <row collapsed="false" customFormat="false" customHeight="false" hidden="false" ht="12.1" outlineLevel="0" r="899">
      <c r="A899" s="21" t="n">
        <v>45750.472719907</v>
      </c>
      <c r="B899" s="22" t="s">
        <v>1063</v>
      </c>
      <c r="C899" s="22" t="s">
        <v>1130</v>
      </c>
      <c r="D899" s="22" t="s">
        <v>1063</v>
      </c>
      <c r="E899" s="22" t="s">
        <v>1063</v>
      </c>
      <c r="F899" s="22" t="s">
        <v>19</v>
      </c>
      <c r="G899" s="23" t="n">
        <v>1</v>
      </c>
      <c r="H899" s="24" t="n">
        <v>1</v>
      </c>
      <c r="I899" s="24" t="n">
        <v>652.63</v>
      </c>
      <c r="J899" s="24" t="n">
        <v>0</v>
      </c>
      <c r="K899" s="24" t="n">
        <v>0</v>
      </c>
      <c r="L899" s="24" t="n">
        <v>0</v>
      </c>
      <c r="M899" s="6" t="s">
        <f>=I899+J899+K899+L899</f>
      </c>
      <c r="N899" s="24"/>
      <c r="O899" s="22"/>
    </row>
    <row collapsed="false" customFormat="false" customHeight="false" hidden="false" ht="12.1" outlineLevel="0" r="900">
      <c r="A900" s="21" t="n">
        <v>45751.463171296</v>
      </c>
      <c r="B900" s="22" t="s">
        <v>1063</v>
      </c>
      <c r="C900" s="22" t="s">
        <v>1072</v>
      </c>
      <c r="D900" s="22" t="s">
        <v>1063</v>
      </c>
      <c r="E900" s="22" t="s">
        <v>1063</v>
      </c>
      <c r="F900" s="22" t="s">
        <v>19</v>
      </c>
      <c r="G900" s="23" t="n">
        <v>1</v>
      </c>
      <c r="H900" s="24" t="n">
        <v>1</v>
      </c>
      <c r="I900" s="24" t="n">
        <v>6.98</v>
      </c>
      <c r="J900" s="24" t="n">
        <v>0</v>
      </c>
      <c r="K900" s="24" t="n">
        <v>0</v>
      </c>
      <c r="L900" s="24" t="n">
        <v>0</v>
      </c>
      <c r="M900" s="6" t="s">
        <f>=I900+J900+K900+L900</f>
      </c>
      <c r="N900" s="24"/>
      <c r="O900" s="22"/>
    </row>
    <row collapsed="false" customFormat="false" customHeight="false" hidden="false" ht="12.1" outlineLevel="0" r="901">
      <c r="A901" s="21" t="n">
        <v>45751.535983796</v>
      </c>
      <c r="B901" s="22" t="s">
        <v>1056</v>
      </c>
      <c r="C901" s="22" t="s">
        <v>350</v>
      </c>
      <c r="D901" s="22" t="s">
        <v>1056</v>
      </c>
      <c r="E901" s="22" t="s">
        <v>1056</v>
      </c>
      <c r="F901" s="22" t="s">
        <v>19</v>
      </c>
      <c r="G901" s="23" t="n">
        <v>1</v>
      </c>
      <c r="H901" s="24" t="n">
        <v>1</v>
      </c>
      <c r="I901" s="24" t="n">
        <v>5000</v>
      </c>
      <c r="J901" s="24" t="n">
        <v>0</v>
      </c>
      <c r="K901" s="24" t="n">
        <v>0</v>
      </c>
      <c r="L901" s="24" t="n">
        <v>0</v>
      </c>
      <c r="M901" s="6" t="s">
        <f>=I901+J901+K901+L901</f>
      </c>
      <c r="N901" s="24"/>
      <c r="O901" s="22"/>
    </row>
    <row collapsed="false" customFormat="false" customHeight="false" hidden="false" ht="12.1" outlineLevel="0" r="902">
      <c r="A902" s="21" t="n">
        <v>45751.536099537</v>
      </c>
      <c r="B902" s="22" t="s">
        <v>1056</v>
      </c>
      <c r="C902" s="22" t="s">
        <v>350</v>
      </c>
      <c r="D902" s="22" t="s">
        <v>1056</v>
      </c>
      <c r="E902" s="22" t="s">
        <v>1056</v>
      </c>
      <c r="F902" s="22" t="s">
        <v>19</v>
      </c>
      <c r="G902" s="23" t="n">
        <v>1</v>
      </c>
      <c r="H902" s="24" t="n">
        <v>1</v>
      </c>
      <c r="I902" s="24" t="n">
        <v>6820</v>
      </c>
      <c r="J902" s="24" t="n">
        <v>0</v>
      </c>
      <c r="K902" s="24" t="n">
        <v>0</v>
      </c>
      <c r="L902" s="24" t="n">
        <v>0</v>
      </c>
      <c r="M902" s="6" t="s">
        <f>=I902+J902+K902+L902</f>
      </c>
      <c r="N902" s="24"/>
      <c r="O902" s="22"/>
    </row>
    <row collapsed="false" customFormat="false" customHeight="false" hidden="false" ht="12.1" outlineLevel="0" r="903">
      <c r="A903" s="20" t="n">
        <v>45751.541643519</v>
      </c>
      <c r="B903" s="16" t="s">
        <v>27</v>
      </c>
      <c r="C903" s="16" t="s">
        <v>1299</v>
      </c>
      <c r="D903" s="16" t="s">
        <v>912</v>
      </c>
      <c r="E903" s="16" t="s">
        <v>17</v>
      </c>
      <c r="F903" s="16" t="s">
        <v>19</v>
      </c>
      <c r="G903" s="7" t="n">
        <v>3</v>
      </c>
      <c r="H903" s="6" t="n">
        <v>3212.4</v>
      </c>
      <c r="I903" s="6" t="n">
        <v>-9637.2</v>
      </c>
      <c r="J903" s="6" t="n">
        <v>0</v>
      </c>
      <c r="K903" s="6" t="n">
        <v>-28.91</v>
      </c>
      <c r="L903" s="6" t="n">
        <v>0</v>
      </c>
      <c r="M903" s="6" t="s">
        <f>=I903+J903+K903+L903</f>
      </c>
      <c r="N903" s="6"/>
      <c r="O903" s="16"/>
    </row>
    <row collapsed="false" customFormat="false" customHeight="false" hidden="false" ht="12.1" outlineLevel="0" r="904">
      <c r="A904" s="20" t="n">
        <v>45751.542800926</v>
      </c>
      <c r="B904" s="16" t="s">
        <v>27</v>
      </c>
      <c r="C904" s="16" t="s">
        <v>1299</v>
      </c>
      <c r="D904" s="16" t="s">
        <v>912</v>
      </c>
      <c r="E904" s="16" t="s">
        <v>17</v>
      </c>
      <c r="F904" s="16" t="s">
        <v>19</v>
      </c>
      <c r="G904" s="7" t="n">
        <v>1</v>
      </c>
      <c r="H904" s="6" t="n">
        <v>3216</v>
      </c>
      <c r="I904" s="6" t="n">
        <v>-3216</v>
      </c>
      <c r="J904" s="6" t="n">
        <v>0</v>
      </c>
      <c r="K904" s="6" t="n">
        <v>-9.65</v>
      </c>
      <c r="L904" s="6" t="n">
        <v>0</v>
      </c>
      <c r="M904" s="6" t="s">
        <f>=I904+J904+K904+L904</f>
      </c>
      <c r="N904" s="6"/>
      <c r="O904" s="16"/>
    </row>
    <row collapsed="false" customFormat="false" customHeight="false" hidden="false" ht="12.1" outlineLevel="0" r="905">
      <c r="A905" s="20" t="n">
        <v>45751.546423611</v>
      </c>
      <c r="B905" s="16" t="s">
        <v>257</v>
      </c>
      <c r="C905" s="16" t="s">
        <v>1300</v>
      </c>
      <c r="D905" s="16" t="s">
        <v>912</v>
      </c>
      <c r="E905" s="16" t="s">
        <v>85</v>
      </c>
      <c r="F905" s="16" t="s">
        <v>19</v>
      </c>
      <c r="G905" s="7" t="n">
        <v>1</v>
      </c>
      <c r="H905" s="6" t="n">
        <v>97.75</v>
      </c>
      <c r="I905" s="6" t="n">
        <v>-977.5</v>
      </c>
      <c r="J905" s="6" t="n">
        <v>-0.62</v>
      </c>
      <c r="K905" s="6" t="n">
        <v>-2.93</v>
      </c>
      <c r="L905" s="6" t="n">
        <v>0</v>
      </c>
      <c r="M905" s="6" t="s">
        <f>=I905+J905+K905+L905</f>
      </c>
      <c r="N905" s="6"/>
      <c r="O905" s="16"/>
    </row>
    <row collapsed="false" customFormat="false" customHeight="false" hidden="false" ht="12.1" outlineLevel="0" r="906">
      <c r="A906" s="20" t="n">
        <v>45751.549722222</v>
      </c>
      <c r="B906" s="16" t="s">
        <v>317</v>
      </c>
      <c r="C906" s="16" t="s">
        <v>1301</v>
      </c>
      <c r="D906" s="16" t="s">
        <v>912</v>
      </c>
      <c r="E906" s="16" t="s">
        <v>85</v>
      </c>
      <c r="F906" s="16" t="s">
        <v>19</v>
      </c>
      <c r="G906" s="7" t="n">
        <v>1</v>
      </c>
      <c r="H906" s="6" t="n">
        <v>94.07</v>
      </c>
      <c r="I906" s="6" t="n">
        <v>-940.7</v>
      </c>
      <c r="J906" s="6" t="n">
        <v>-13.98</v>
      </c>
      <c r="K906" s="6" t="n">
        <v>-2.82</v>
      </c>
      <c r="L906" s="6" t="n">
        <v>0</v>
      </c>
      <c r="M906" s="6" t="s">
        <f>=I906+J906+K906+L906</f>
      </c>
      <c r="N906" s="6"/>
      <c r="O906" s="16"/>
    </row>
    <row collapsed="false" customFormat="false" customHeight="false" hidden="false" ht="12.1" outlineLevel="0" r="907">
      <c r="A907" s="21" t="n">
        <v>45757.41349537</v>
      </c>
      <c r="B907" s="22" t="s">
        <v>1063</v>
      </c>
      <c r="C907" s="22" t="s">
        <v>1302</v>
      </c>
      <c r="D907" s="22" t="s">
        <v>1063</v>
      </c>
      <c r="E907" s="22" t="s">
        <v>1063</v>
      </c>
      <c r="F907" s="22" t="s">
        <v>19</v>
      </c>
      <c r="G907" s="23" t="n">
        <v>1</v>
      </c>
      <c r="H907" s="24" t="n">
        <v>1</v>
      </c>
      <c r="I907" s="24" t="n">
        <v>179.52</v>
      </c>
      <c r="J907" s="24" t="n">
        <v>0</v>
      </c>
      <c r="K907" s="24" t="n">
        <v>0</v>
      </c>
      <c r="L907" s="24" t="n">
        <v>0</v>
      </c>
      <c r="M907" s="6" t="s">
        <f>=I907+J907+K907+L907</f>
      </c>
      <c r="N907" s="24"/>
      <c r="O907" s="22"/>
    </row>
    <row collapsed="false" customFormat="false" customHeight="false" hidden="false" ht="12.1" outlineLevel="0" r="908">
      <c r="A908" s="21" t="n">
        <v>45757.582384259</v>
      </c>
      <c r="B908" s="22" t="s">
        <v>1063</v>
      </c>
      <c r="C908" s="22" t="s">
        <v>1133</v>
      </c>
      <c r="D908" s="22" t="s">
        <v>1063</v>
      </c>
      <c r="E908" s="22" t="s">
        <v>1063</v>
      </c>
      <c r="F908" s="22" t="s">
        <v>19</v>
      </c>
      <c r="G908" s="23" t="n">
        <v>1</v>
      </c>
      <c r="H908" s="24" t="n">
        <v>1</v>
      </c>
      <c r="I908" s="24" t="n">
        <v>450.75</v>
      </c>
      <c r="J908" s="24" t="n">
        <v>0</v>
      </c>
      <c r="K908" s="24" t="n">
        <v>0</v>
      </c>
      <c r="L908" s="24" t="n">
        <v>0</v>
      </c>
      <c r="M908" s="6" t="s">
        <f>=I908+J908+K908+L908</f>
      </c>
      <c r="N908" s="24"/>
      <c r="O908" s="22"/>
    </row>
    <row collapsed="false" customFormat="false" customHeight="false" hidden="false" ht="12.1" outlineLevel="0" r="909">
      <c r="A909" s="21" t="n">
        <v>45763.451041667</v>
      </c>
      <c r="B909" s="22" t="s">
        <v>1063</v>
      </c>
      <c r="C909" s="22" t="s">
        <v>1303</v>
      </c>
      <c r="D909" s="22" t="s">
        <v>1063</v>
      </c>
      <c r="E909" s="22" t="s">
        <v>1063</v>
      </c>
      <c r="F909" s="22" t="s">
        <v>19</v>
      </c>
      <c r="G909" s="23" t="n">
        <v>1</v>
      </c>
      <c r="H909" s="24" t="n">
        <v>1</v>
      </c>
      <c r="I909" s="24" t="n">
        <v>18.84</v>
      </c>
      <c r="J909" s="24" t="n">
        <v>0</v>
      </c>
      <c r="K909" s="24" t="n">
        <v>0</v>
      </c>
      <c r="L909" s="24" t="n">
        <v>0</v>
      </c>
      <c r="M909" s="6" t="s">
        <f>=I909+J909+K909+L909</f>
      </c>
      <c r="N909" s="24"/>
      <c r="O909" s="22"/>
    </row>
    <row collapsed="false" customFormat="false" customHeight="false" hidden="false" ht="12.1" outlineLevel="0" r="910">
      <c r="A910" s="21" t="n">
        <v>45763.500266204</v>
      </c>
      <c r="B910" s="22" t="s">
        <v>1063</v>
      </c>
      <c r="C910" s="22" t="s">
        <v>1304</v>
      </c>
      <c r="D910" s="22" t="s">
        <v>1063</v>
      </c>
      <c r="E910" s="22" t="s">
        <v>1063</v>
      </c>
      <c r="F910" s="22" t="s">
        <v>19</v>
      </c>
      <c r="G910" s="23" t="n">
        <v>1</v>
      </c>
      <c r="H910" s="24" t="n">
        <v>1</v>
      </c>
      <c r="I910" s="24" t="n">
        <v>24.93</v>
      </c>
      <c r="J910" s="24" t="n">
        <v>0</v>
      </c>
      <c r="K910" s="24" t="n">
        <v>0</v>
      </c>
      <c r="L910" s="24" t="n">
        <v>0</v>
      </c>
      <c r="M910" s="6" t="s">
        <f>=I910+J910+K910+L910</f>
      </c>
      <c r="N910" s="24"/>
      <c r="O910" s="22"/>
    </row>
    <row collapsed="false" customFormat="false" customHeight="false" hidden="false" ht="12.1" outlineLevel="0" r="911">
      <c r="A911" s="21" t="n">
        <v>45764.457511574</v>
      </c>
      <c r="B911" s="22" t="s">
        <v>1063</v>
      </c>
      <c r="C911" s="22" t="s">
        <v>1305</v>
      </c>
      <c r="D911" s="22" t="s">
        <v>1063</v>
      </c>
      <c r="E911" s="22" t="s">
        <v>1063</v>
      </c>
      <c r="F911" s="22" t="s">
        <v>19</v>
      </c>
      <c r="G911" s="23" t="n">
        <v>1</v>
      </c>
      <c r="H911" s="24" t="n">
        <v>1</v>
      </c>
      <c r="I911" s="24" t="n">
        <v>97.23</v>
      </c>
      <c r="J911" s="24" t="n">
        <v>0</v>
      </c>
      <c r="K911" s="24" t="n">
        <v>0</v>
      </c>
      <c r="L911" s="24" t="n">
        <v>0</v>
      </c>
      <c r="M911" s="6" t="s">
        <f>=I911+J911+K911+L911</f>
      </c>
      <c r="N911" s="24"/>
      <c r="O911" s="22"/>
    </row>
    <row collapsed="false" customFormat="false" customHeight="false" hidden="false" ht="12.1" outlineLevel="0" r="912">
      <c r="A912" s="21" t="n">
        <v>45764.484247685</v>
      </c>
      <c r="B912" s="22" t="s">
        <v>1063</v>
      </c>
      <c r="C912" s="22" t="s">
        <v>1178</v>
      </c>
      <c r="D912" s="22" t="s">
        <v>1063</v>
      </c>
      <c r="E912" s="22" t="s">
        <v>1063</v>
      </c>
      <c r="F912" s="22" t="s">
        <v>19</v>
      </c>
      <c r="G912" s="23" t="n">
        <v>1</v>
      </c>
      <c r="H912" s="24" t="n">
        <v>1</v>
      </c>
      <c r="I912" s="24" t="n">
        <v>495.95</v>
      </c>
      <c r="J912" s="24" t="n">
        <v>0</v>
      </c>
      <c r="K912" s="24" t="n">
        <v>0</v>
      </c>
      <c r="L912" s="24" t="n">
        <v>0</v>
      </c>
      <c r="M912" s="6" t="s">
        <f>=I912+J912+K912+L912</f>
      </c>
      <c r="N912" s="24"/>
      <c r="O912" s="22"/>
    </row>
    <row collapsed="false" customFormat="false" customHeight="false" hidden="false" ht="12.1" outlineLevel="0" r="913">
      <c r="A913" s="21" t="n">
        <v>45764.582511574</v>
      </c>
      <c r="B913" s="22" t="s">
        <v>1063</v>
      </c>
      <c r="C913" s="22" t="s">
        <v>1256</v>
      </c>
      <c r="D913" s="22" t="s">
        <v>1063</v>
      </c>
      <c r="E913" s="22" t="s">
        <v>1063</v>
      </c>
      <c r="F913" s="22" t="s">
        <v>19</v>
      </c>
      <c r="G913" s="23" t="n">
        <v>1</v>
      </c>
      <c r="H913" s="24" t="n">
        <v>1</v>
      </c>
      <c r="I913" s="24" t="n">
        <v>26.18</v>
      </c>
      <c r="J913" s="24" t="n">
        <v>0</v>
      </c>
      <c r="K913" s="24" t="n">
        <v>0</v>
      </c>
      <c r="L913" s="24" t="n">
        <v>0</v>
      </c>
      <c r="M913" s="6" t="s">
        <f>=I913+J913+K913+L913</f>
      </c>
      <c r="N913" s="24"/>
      <c r="O913" s="22"/>
    </row>
    <row collapsed="false" customFormat="false" customHeight="false" hidden="false" ht="12.1" outlineLevel="0" r="914">
      <c r="A914" s="21" t="n">
        <v>45770.430740741</v>
      </c>
      <c r="B914" s="22" t="s">
        <v>1063</v>
      </c>
      <c r="C914" s="22" t="s">
        <v>1195</v>
      </c>
      <c r="D914" s="22" t="s">
        <v>1063</v>
      </c>
      <c r="E914" s="22" t="s">
        <v>1063</v>
      </c>
      <c r="F914" s="22" t="s">
        <v>19</v>
      </c>
      <c r="G914" s="23" t="n">
        <v>1</v>
      </c>
      <c r="H914" s="24" t="n">
        <v>1</v>
      </c>
      <c r="I914" s="24" t="n">
        <v>28.62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4"/>
      <c r="O914" s="22"/>
    </row>
    <row collapsed="false" customFormat="false" customHeight="false" hidden="false" ht="12.1" outlineLevel="0" r="915">
      <c r="A915" s="21" t="n">
        <v>45770.43212963</v>
      </c>
      <c r="B915" s="22" t="s">
        <v>1073</v>
      </c>
      <c r="C915" s="22" t="s">
        <v>1279</v>
      </c>
      <c r="D915" s="22" t="s">
        <v>1073</v>
      </c>
      <c r="E915" s="22" t="s">
        <v>1073</v>
      </c>
      <c r="F915" s="22" t="s">
        <v>19</v>
      </c>
      <c r="G915" s="23" t="n">
        <v>1</v>
      </c>
      <c r="H915" s="24" t="n">
        <v>1</v>
      </c>
      <c r="I915" s="24" t="n">
        <v>165</v>
      </c>
      <c r="J915" s="24" t="n">
        <v>0</v>
      </c>
      <c r="K915" s="24" t="n">
        <v>0</v>
      </c>
      <c r="L915" s="24" t="n">
        <v>0</v>
      </c>
      <c r="M915" s="6" t="s">
        <f>=I915+J915+K915+L915</f>
      </c>
      <c r="N915" s="24"/>
      <c r="O915" s="22"/>
    </row>
    <row collapsed="false" customFormat="false" customHeight="false" hidden="false" ht="12.1" outlineLevel="0" r="916">
      <c r="A916" s="21" t="n">
        <v>45771.417974537</v>
      </c>
      <c r="B916" s="22" t="s">
        <v>1063</v>
      </c>
      <c r="C916" s="22" t="s">
        <v>1180</v>
      </c>
      <c r="D916" s="22" t="s">
        <v>1063</v>
      </c>
      <c r="E916" s="22" t="s">
        <v>1063</v>
      </c>
      <c r="F916" s="22" t="s">
        <v>19</v>
      </c>
      <c r="G916" s="23" t="n">
        <v>1</v>
      </c>
      <c r="H916" s="24" t="n">
        <v>1</v>
      </c>
      <c r="I916" s="24" t="n">
        <v>56.52</v>
      </c>
      <c r="J916" s="24" t="n">
        <v>0</v>
      </c>
      <c r="K916" s="24" t="n">
        <v>0</v>
      </c>
      <c r="L916" s="24" t="n">
        <v>0</v>
      </c>
      <c r="M916" s="6" t="s">
        <f>=I916+J916+K916+L916</f>
      </c>
      <c r="N916" s="24"/>
      <c r="O916" s="22"/>
    </row>
    <row collapsed="false" customFormat="false" customHeight="false" hidden="false" ht="12.1" outlineLevel="0" r="917">
      <c r="A917" s="21" t="n">
        <v>45771.432488426</v>
      </c>
      <c r="B917" s="22" t="s">
        <v>1063</v>
      </c>
      <c r="C917" s="22" t="s">
        <v>1251</v>
      </c>
      <c r="D917" s="22" t="s">
        <v>1063</v>
      </c>
      <c r="E917" s="22" t="s">
        <v>1063</v>
      </c>
      <c r="F917" s="22" t="s">
        <v>19</v>
      </c>
      <c r="G917" s="23" t="n">
        <v>1</v>
      </c>
      <c r="H917" s="24" t="n">
        <v>1</v>
      </c>
      <c r="I917" s="24" t="n">
        <v>11.18</v>
      </c>
      <c r="J917" s="24" t="n">
        <v>0</v>
      </c>
      <c r="K917" s="24" t="n">
        <v>0</v>
      </c>
      <c r="L917" s="24" t="n">
        <v>0</v>
      </c>
      <c r="M917" s="6" t="s">
        <f>=I917+J917+K917+L917</f>
      </c>
      <c r="N917" s="24"/>
      <c r="O917" s="22"/>
    </row>
    <row collapsed="false" customFormat="false" customHeight="false" hidden="false" ht="12.1" outlineLevel="0" r="918">
      <c r="A918" s="21" t="n">
        <v>45775.485520833</v>
      </c>
      <c r="B918" s="22" t="s">
        <v>1063</v>
      </c>
      <c r="C918" s="22" t="s">
        <v>1235</v>
      </c>
      <c r="D918" s="22" t="s">
        <v>1063</v>
      </c>
      <c r="E918" s="22" t="s">
        <v>1063</v>
      </c>
      <c r="F918" s="22" t="s">
        <v>19</v>
      </c>
      <c r="G918" s="23" t="n">
        <v>1</v>
      </c>
      <c r="H918" s="24" t="n">
        <v>1</v>
      </c>
      <c r="I918" s="24" t="n">
        <v>36.32</v>
      </c>
      <c r="J918" s="24" t="n">
        <v>0</v>
      </c>
      <c r="K918" s="24" t="n">
        <v>0</v>
      </c>
      <c r="L918" s="24" t="n">
        <v>0</v>
      </c>
      <c r="M918" s="6" t="s">
        <f>=I918+J918+K918+L918</f>
      </c>
      <c r="N918" s="24"/>
      <c r="O918" s="22"/>
    </row>
    <row collapsed="false" customFormat="false" customHeight="false" hidden="false" ht="12.1" outlineLevel="0" r="919">
      <c r="A919" s="21" t="n">
        <v>45776.445740741</v>
      </c>
      <c r="B919" s="22" t="s">
        <v>1056</v>
      </c>
      <c r="C919" s="22" t="s">
        <v>350</v>
      </c>
      <c r="D919" s="22" t="s">
        <v>1056</v>
      </c>
      <c r="E919" s="22" t="s">
        <v>1056</v>
      </c>
      <c r="F919" s="22" t="s">
        <v>19</v>
      </c>
      <c r="G919" s="23" t="n">
        <v>1</v>
      </c>
      <c r="H919" s="24" t="n">
        <v>1</v>
      </c>
      <c r="I919" s="24" t="n">
        <v>11600</v>
      </c>
      <c r="J919" s="24" t="n">
        <v>0</v>
      </c>
      <c r="K919" s="24" t="n">
        <v>0</v>
      </c>
      <c r="L919" s="24" t="n">
        <v>0</v>
      </c>
      <c r="M919" s="6" t="s">
        <f>=I919+J919+K919+L919</f>
      </c>
      <c r="N919" s="24"/>
      <c r="O919" s="22"/>
    </row>
    <row collapsed="false" customFormat="false" customHeight="false" hidden="false" ht="12.1" outlineLevel="0" r="920">
      <c r="A920" s="20" t="n">
        <v>45776.458564815</v>
      </c>
      <c r="B920" s="16" t="s">
        <v>246</v>
      </c>
      <c r="C920" s="16" t="s">
        <v>1306</v>
      </c>
      <c r="D920" s="16" t="s">
        <v>912</v>
      </c>
      <c r="E920" s="16" t="s">
        <v>85</v>
      </c>
      <c r="F920" s="16" t="s">
        <v>19</v>
      </c>
      <c r="G920" s="7" t="n">
        <v>1</v>
      </c>
      <c r="H920" s="6" t="n">
        <v>103.7</v>
      </c>
      <c r="I920" s="6" t="n">
        <v>-1037</v>
      </c>
      <c r="J920" s="6" t="n">
        <v>-5.5899999999999</v>
      </c>
      <c r="K920" s="6" t="n">
        <v>-3.11</v>
      </c>
      <c r="L920" s="6" t="n">
        <v>0</v>
      </c>
      <c r="M920" s="6" t="s">
        <f>=I920+J920+K920+L920</f>
      </c>
      <c r="N920" s="6"/>
      <c r="O920" s="16"/>
    </row>
    <row collapsed="false" customFormat="false" customHeight="false" hidden="false" ht="12.1" outlineLevel="0" r="921">
      <c r="A921" s="20" t="n">
        <v>45776.459247685</v>
      </c>
      <c r="B921" s="16" t="s">
        <v>252</v>
      </c>
      <c r="C921" s="16" t="s">
        <v>1307</v>
      </c>
      <c r="D921" s="16" t="s">
        <v>912</v>
      </c>
      <c r="E921" s="16" t="s">
        <v>85</v>
      </c>
      <c r="F921" s="16" t="s">
        <v>19</v>
      </c>
      <c r="G921" s="7" t="n">
        <v>1</v>
      </c>
      <c r="H921" s="6" t="n">
        <v>101.85</v>
      </c>
      <c r="I921" s="6" t="n">
        <v>-1018.5</v>
      </c>
      <c r="J921" s="6" t="n">
        <v>-0.64999999999998</v>
      </c>
      <c r="K921" s="6" t="n">
        <v>-3.06</v>
      </c>
      <c r="L921" s="6" t="n">
        <v>0</v>
      </c>
      <c r="M921" s="6" t="s">
        <f>=I921+J921+K921+L921</f>
      </c>
      <c r="N921" s="6"/>
      <c r="O921" s="16"/>
    </row>
    <row collapsed="false" customFormat="false" customHeight="false" hidden="false" ht="12.1" outlineLevel="0" r="922">
      <c r="A922" s="20" t="n">
        <v>45776.459953704</v>
      </c>
      <c r="B922" s="16" t="s">
        <v>234</v>
      </c>
      <c r="C922" s="16" t="s">
        <v>1308</v>
      </c>
      <c r="D922" s="16" t="s">
        <v>912</v>
      </c>
      <c r="E922" s="16" t="s">
        <v>85</v>
      </c>
      <c r="F922" s="16" t="s">
        <v>19</v>
      </c>
      <c r="G922" s="7" t="n">
        <v>1</v>
      </c>
      <c r="H922" s="6" t="n">
        <v>101.55</v>
      </c>
      <c r="I922" s="6" t="n">
        <v>-1015.5</v>
      </c>
      <c r="J922" s="6" t="n">
        <v>-14.01</v>
      </c>
      <c r="K922" s="6" t="n">
        <v>-3.05</v>
      </c>
      <c r="L922" s="6" t="n">
        <v>0</v>
      </c>
      <c r="M922" s="6" t="s">
        <f>=I922+J922+K922+L922</f>
      </c>
      <c r="N922" s="6"/>
      <c r="O922" s="16"/>
    </row>
    <row collapsed="false" customFormat="false" customHeight="false" hidden="false" ht="12.1" outlineLevel="0" r="923">
      <c r="A923" s="20" t="n">
        <v>45776.460300926</v>
      </c>
      <c r="B923" s="16" t="s">
        <v>214</v>
      </c>
      <c r="C923" s="16" t="s">
        <v>1248</v>
      </c>
      <c r="D923" s="16" t="s">
        <v>912</v>
      </c>
      <c r="E923" s="16" t="s">
        <v>85</v>
      </c>
      <c r="F923" s="16" t="s">
        <v>19</v>
      </c>
      <c r="G923" s="7" t="n">
        <v>1</v>
      </c>
      <c r="H923" s="6" t="n">
        <v>78.91</v>
      </c>
      <c r="I923" s="6" t="n">
        <v>-789.1</v>
      </c>
      <c r="J923" s="6" t="n">
        <v>-29.86</v>
      </c>
      <c r="K923" s="6" t="n">
        <v>-2.37</v>
      </c>
      <c r="L923" s="6" t="n">
        <v>0</v>
      </c>
      <c r="M923" s="6" t="s">
        <f>=I923+J923+K923+L923</f>
      </c>
      <c r="N923" s="6"/>
      <c r="O923" s="16"/>
    </row>
    <row collapsed="false" customFormat="false" customHeight="false" hidden="false" ht="12.1" outlineLevel="0" r="924">
      <c r="A924" s="20" t="n">
        <v>45776.460625</v>
      </c>
      <c r="B924" s="16" t="s">
        <v>314</v>
      </c>
      <c r="C924" s="16" t="s">
        <v>1309</v>
      </c>
      <c r="D924" s="16" t="s">
        <v>912</v>
      </c>
      <c r="E924" s="16" t="s">
        <v>85</v>
      </c>
      <c r="F924" s="16" t="s">
        <v>19</v>
      </c>
      <c r="G924" s="7" t="n">
        <v>1</v>
      </c>
      <c r="H924" s="6" t="n">
        <v>81.3</v>
      </c>
      <c r="I924" s="6" t="n">
        <v>-813</v>
      </c>
      <c r="J924" s="6" t="n">
        <v>-16.37</v>
      </c>
      <c r="K924" s="6" t="n">
        <v>-2.44</v>
      </c>
      <c r="L924" s="6" t="n">
        <v>0</v>
      </c>
      <c r="M924" s="6" t="s">
        <f>=I924+J924+K924+L924</f>
      </c>
      <c r="N924" s="6"/>
      <c r="O924" s="16"/>
    </row>
    <row collapsed="false" customFormat="false" customHeight="false" hidden="false" ht="12.1" outlineLevel="0" r="925">
      <c r="A925" s="20" t="n">
        <v>45776.461087963</v>
      </c>
      <c r="B925" s="16" t="s">
        <v>217</v>
      </c>
      <c r="C925" s="16" t="s">
        <v>1289</v>
      </c>
      <c r="D925" s="16" t="s">
        <v>912</v>
      </c>
      <c r="E925" s="16" t="s">
        <v>85</v>
      </c>
      <c r="F925" s="16" t="s">
        <v>19</v>
      </c>
      <c r="G925" s="7" t="n">
        <v>1</v>
      </c>
      <c r="H925" s="6" t="n">
        <v>77.81</v>
      </c>
      <c r="I925" s="6" t="n">
        <v>-778.1</v>
      </c>
      <c r="J925" s="6" t="n">
        <v>-4.11</v>
      </c>
      <c r="K925" s="6" t="n">
        <v>-2.33</v>
      </c>
      <c r="L925" s="6" t="n">
        <v>0</v>
      </c>
      <c r="M925" s="6" t="s">
        <f>=I925+J925+K925+L925</f>
      </c>
      <c r="N925" s="6"/>
      <c r="O925" s="16"/>
    </row>
    <row collapsed="false" customFormat="false" customHeight="false" hidden="false" ht="12.1" outlineLevel="0" r="926">
      <c r="A926" s="20" t="n">
        <v>45776.461979167</v>
      </c>
      <c r="B926" s="16" t="s">
        <v>100</v>
      </c>
      <c r="C926" s="16" t="s">
        <v>1253</v>
      </c>
      <c r="D926" s="16" t="s">
        <v>912</v>
      </c>
      <c r="E926" s="16" t="s">
        <v>85</v>
      </c>
      <c r="F926" s="16" t="s">
        <v>19</v>
      </c>
      <c r="G926" s="7" t="n">
        <v>1</v>
      </c>
      <c r="H926" s="6" t="n">
        <v>81.7</v>
      </c>
      <c r="I926" s="6" t="n">
        <v>-817</v>
      </c>
      <c r="J926" s="6" t="n">
        <v>-49.33</v>
      </c>
      <c r="K926" s="6" t="n">
        <v>-2.45</v>
      </c>
      <c r="L926" s="6" t="n">
        <v>0</v>
      </c>
      <c r="M926" s="6" t="s">
        <f>=I926+J926+K926+L926</f>
      </c>
      <c r="N926" s="6"/>
      <c r="O926" s="16"/>
    </row>
    <row collapsed="false" customFormat="false" customHeight="false" hidden="false" ht="12.1" outlineLevel="0" r="927">
      <c r="A927" s="20" t="n">
        <v>45776.462175926</v>
      </c>
      <c r="B927" s="16" t="s">
        <v>121</v>
      </c>
      <c r="C927" s="16" t="s">
        <v>1285</v>
      </c>
      <c r="D927" s="16" t="s">
        <v>912</v>
      </c>
      <c r="E927" s="16" t="s">
        <v>85</v>
      </c>
      <c r="F927" s="16" t="s">
        <v>19</v>
      </c>
      <c r="G927" s="7" t="n">
        <v>1</v>
      </c>
      <c r="H927" s="6" t="n">
        <v>82.543</v>
      </c>
      <c r="I927" s="6" t="n">
        <v>-825.43</v>
      </c>
      <c r="J927" s="6" t="n">
        <v>-6.9000000000001</v>
      </c>
      <c r="K927" s="6" t="n">
        <v>-2.48</v>
      </c>
      <c r="L927" s="6" t="n">
        <v>0</v>
      </c>
      <c r="M927" s="6" t="s">
        <f>=I927+J927+K927+L927</f>
      </c>
      <c r="N927" s="6"/>
      <c r="O927" s="16"/>
    </row>
    <row collapsed="false" customFormat="false" customHeight="false" hidden="false" ht="12.1" outlineLevel="0" r="928">
      <c r="A928" s="20" t="n">
        <v>45776.462384259</v>
      </c>
      <c r="B928" s="16" t="s">
        <v>115</v>
      </c>
      <c r="C928" s="16" t="s">
        <v>1252</v>
      </c>
      <c r="D928" s="16" t="s">
        <v>912</v>
      </c>
      <c r="E928" s="16" t="s">
        <v>85</v>
      </c>
      <c r="F928" s="16" t="s">
        <v>19</v>
      </c>
      <c r="G928" s="7" t="n">
        <v>1</v>
      </c>
      <c r="H928" s="6" t="n">
        <v>81.95</v>
      </c>
      <c r="I928" s="6" t="n">
        <v>-819.5</v>
      </c>
      <c r="J928" s="6" t="n">
        <v>-51.68</v>
      </c>
      <c r="K928" s="6" t="n">
        <v>-2.46</v>
      </c>
      <c r="L928" s="6" t="n">
        <v>0</v>
      </c>
      <c r="M928" s="6" t="s">
        <f>=I928+J928+K928+L928</f>
      </c>
      <c r="N928" s="6"/>
      <c r="O928" s="16"/>
    </row>
    <row collapsed="false" customFormat="false" customHeight="false" hidden="false" ht="12.1" outlineLevel="0" r="929">
      <c r="A929" s="20" t="n">
        <v>45776.46255787</v>
      </c>
      <c r="B929" s="16" t="s">
        <v>97</v>
      </c>
      <c r="C929" s="16" t="s">
        <v>1284</v>
      </c>
      <c r="D929" s="16" t="s">
        <v>912</v>
      </c>
      <c r="E929" s="16" t="s">
        <v>85</v>
      </c>
      <c r="F929" s="16" t="s">
        <v>19</v>
      </c>
      <c r="G929" s="7" t="n">
        <v>1</v>
      </c>
      <c r="H929" s="6" t="n">
        <v>82.371</v>
      </c>
      <c r="I929" s="6" t="n">
        <v>-823.71</v>
      </c>
      <c r="J929" s="6" t="n">
        <v>-11.51</v>
      </c>
      <c r="K929" s="6" t="n">
        <v>-2.47</v>
      </c>
      <c r="L929" s="6" t="n">
        <v>0</v>
      </c>
      <c r="M929" s="6" t="s">
        <f>=I929+J929+K929+L929</f>
      </c>
      <c r="N929" s="6"/>
      <c r="O929" s="16"/>
    </row>
    <row collapsed="false" customFormat="false" customHeight="false" hidden="false" ht="12.1" outlineLevel="0" r="930">
      <c r="A930" s="20" t="n">
        <v>45776.462789352</v>
      </c>
      <c r="B930" s="16" t="s">
        <v>91</v>
      </c>
      <c r="C930" s="16" t="s">
        <v>1167</v>
      </c>
      <c r="D930" s="16" t="s">
        <v>912</v>
      </c>
      <c r="E930" s="16" t="s">
        <v>85</v>
      </c>
      <c r="F930" s="16" t="s">
        <v>19</v>
      </c>
      <c r="G930" s="7" t="n">
        <v>1</v>
      </c>
      <c r="H930" s="6" t="n">
        <v>69.102</v>
      </c>
      <c r="I930" s="6" t="n">
        <v>-691.02</v>
      </c>
      <c r="J930" s="6" t="n">
        <v>-39.47</v>
      </c>
      <c r="K930" s="6" t="n">
        <v>-2.07</v>
      </c>
      <c r="L930" s="6" t="n">
        <v>0</v>
      </c>
      <c r="M930" s="6" t="s">
        <f>=I930+J930+K930+L930</f>
      </c>
      <c r="N930" s="6"/>
      <c r="O930" s="16"/>
    </row>
    <row collapsed="false" customFormat="false" customHeight="false" hidden="false" ht="12.1" outlineLevel="0" r="931">
      <c r="A931" s="20" t="n">
        <v>45776.462939815</v>
      </c>
      <c r="B931" s="16" t="s">
        <v>127</v>
      </c>
      <c r="C931" s="16" t="s">
        <v>1099</v>
      </c>
      <c r="D931" s="16" t="s">
        <v>912</v>
      </c>
      <c r="E931" s="16" t="s">
        <v>85</v>
      </c>
      <c r="F931" s="16" t="s">
        <v>19</v>
      </c>
      <c r="G931" s="7" t="n">
        <v>1</v>
      </c>
      <c r="H931" s="6" t="n">
        <v>65.971</v>
      </c>
      <c r="I931" s="6" t="n">
        <v>-659.71</v>
      </c>
      <c r="J931" s="6" t="n">
        <v>-5.91</v>
      </c>
      <c r="K931" s="6" t="n">
        <v>-1.98</v>
      </c>
      <c r="L931" s="6" t="n">
        <v>0</v>
      </c>
      <c r="M931" s="6" t="s">
        <f>=I931+J931+K931+L931</f>
      </c>
      <c r="N931" s="6"/>
      <c r="O931" s="16"/>
    </row>
    <row collapsed="false" customFormat="false" customHeight="false" hidden="false" ht="12.1" outlineLevel="0" r="932">
      <c r="A932" s="20" t="n">
        <v>45776.463298611</v>
      </c>
      <c r="B932" s="16" t="s">
        <v>27</v>
      </c>
      <c r="C932" s="16" t="s">
        <v>1299</v>
      </c>
      <c r="D932" s="16" t="s">
        <v>912</v>
      </c>
      <c r="E932" s="16" t="s">
        <v>17</v>
      </c>
      <c r="F932" s="16" t="s">
        <v>19</v>
      </c>
      <c r="G932" s="7" t="n">
        <v>1</v>
      </c>
      <c r="H932" s="6" t="n">
        <v>3276.4</v>
      </c>
      <c r="I932" s="6" t="n">
        <v>-3276.4</v>
      </c>
      <c r="J932" s="6" t="n">
        <v>0</v>
      </c>
      <c r="K932" s="6" t="n">
        <v>-9.83</v>
      </c>
      <c r="L932" s="6" t="n">
        <v>0</v>
      </c>
      <c r="M932" s="6" t="s">
        <f>=I932+J932+K932+L932</f>
      </c>
      <c r="N932" s="6"/>
      <c r="O932" s="16"/>
    </row>
    <row collapsed="false" customFormat="false" customHeight="false" hidden="false" ht="12.1" outlineLevel="0" r="933">
      <c r="A933" s="21" t="n">
        <v>45776.506759259</v>
      </c>
      <c r="B933" s="22" t="s">
        <v>1063</v>
      </c>
      <c r="C933" s="22" t="s">
        <v>1207</v>
      </c>
      <c r="D933" s="22" t="s">
        <v>1063</v>
      </c>
      <c r="E933" s="22" t="s">
        <v>1063</v>
      </c>
      <c r="F933" s="22" t="s">
        <v>19</v>
      </c>
      <c r="G933" s="23" t="n">
        <v>1</v>
      </c>
      <c r="H933" s="24" t="n">
        <v>1</v>
      </c>
      <c r="I933" s="24" t="n">
        <v>19.17</v>
      </c>
      <c r="J933" s="24" t="n">
        <v>0</v>
      </c>
      <c r="K933" s="24" t="n">
        <v>0</v>
      </c>
      <c r="L933" s="24" t="n">
        <v>0</v>
      </c>
      <c r="M933" s="6" t="s">
        <f>=I933+J933+K933+L933</f>
      </c>
      <c r="N933" s="24"/>
      <c r="O933" s="22"/>
    </row>
    <row collapsed="false" customFormat="false" customHeight="false" hidden="false" ht="12.1" outlineLevel="0" r="934">
      <c r="A934" s="25" t="n">
        <v>45776.529143519</v>
      </c>
      <c r="B934" s="26" t="s">
        <v>1089</v>
      </c>
      <c r="C934" s="26" t="s">
        <v>1310</v>
      </c>
      <c r="D934" s="26" t="s">
        <v>1089</v>
      </c>
      <c r="E934" s="26" t="s">
        <v>1089</v>
      </c>
      <c r="F934" s="26" t="s">
        <v>19</v>
      </c>
      <c r="G934" s="27" t="n">
        <v>1</v>
      </c>
      <c r="H934" s="28" t="n">
        <v>-95</v>
      </c>
      <c r="I934" s="28" t="n">
        <v>-95</v>
      </c>
      <c r="J934" s="28" t="n">
        <v>0</v>
      </c>
      <c r="K934" s="28" t="n">
        <v>0</v>
      </c>
      <c r="L934" s="28" t="n">
        <v>0</v>
      </c>
      <c r="M934" s="6" t="s">
        <f>=I934+J934+K934+L934</f>
      </c>
      <c r="N934" s="28"/>
      <c r="O934" s="26"/>
    </row>
    <row collapsed="false" customFormat="false" customHeight="false" hidden="false" ht="12.1" outlineLevel="0" r="935">
      <c r="A935" s="21" t="n">
        <v>45776.529143519</v>
      </c>
      <c r="B935" s="22" t="s">
        <v>1063</v>
      </c>
      <c r="C935" s="22" t="s">
        <v>1311</v>
      </c>
      <c r="D935" s="22" t="s">
        <v>1063</v>
      </c>
      <c r="E935" s="22" t="s">
        <v>1063</v>
      </c>
      <c r="F935" s="22" t="s">
        <v>19</v>
      </c>
      <c r="G935" s="23" t="n">
        <v>1</v>
      </c>
      <c r="H935" s="24" t="n">
        <v>1</v>
      </c>
      <c r="I935" s="24" t="n">
        <v>730</v>
      </c>
      <c r="J935" s="24" t="n">
        <v>0</v>
      </c>
      <c r="K935" s="24" t="n">
        <v>0</v>
      </c>
      <c r="L935" s="24" t="n">
        <v>0</v>
      </c>
      <c r="M935" s="6" t="s">
        <f>=I935+J935+K935+L935</f>
      </c>
      <c r="N935" s="24"/>
      <c r="O935" s="22"/>
    </row>
    <row collapsed="false" customFormat="false" customHeight="false" hidden="false" ht="12.1" outlineLevel="0" r="936">
      <c r="A936" s="21" t="n">
        <v>45777.462719907</v>
      </c>
      <c r="B936" s="22" t="s">
        <v>1063</v>
      </c>
      <c r="C936" s="22" t="s">
        <v>1236</v>
      </c>
      <c r="D936" s="22" t="s">
        <v>1063</v>
      </c>
      <c r="E936" s="22" t="s">
        <v>1063</v>
      </c>
      <c r="F936" s="22" t="s">
        <v>19</v>
      </c>
      <c r="G936" s="23" t="n">
        <v>1</v>
      </c>
      <c r="H936" s="24" t="n">
        <v>1</v>
      </c>
      <c r="I936" s="24" t="n">
        <v>58.34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4"/>
      <c r="O936" s="22"/>
    </row>
    <row collapsed="false" customFormat="false" customHeight="false" hidden="false" ht="12.1" outlineLevel="0" r="937">
      <c r="A937" s="21" t="n">
        <v>45777.737280093</v>
      </c>
      <c r="B937" s="22" t="s">
        <v>1063</v>
      </c>
      <c r="C937" s="22" t="s">
        <v>1117</v>
      </c>
      <c r="D937" s="22" t="s">
        <v>1063</v>
      </c>
      <c r="E937" s="22" t="s">
        <v>1063</v>
      </c>
      <c r="F937" s="22" t="s">
        <v>19</v>
      </c>
      <c r="G937" s="23" t="n">
        <v>1</v>
      </c>
      <c r="H937" s="24" t="n">
        <v>1</v>
      </c>
      <c r="I937" s="24" t="n">
        <v>28.22</v>
      </c>
      <c r="J937" s="24" t="n">
        <v>0</v>
      </c>
      <c r="K937" s="24" t="n">
        <v>0</v>
      </c>
      <c r="L937" s="24" t="n">
        <v>0</v>
      </c>
      <c r="M937" s="6" t="s">
        <f>=I937+J937+K937+L937</f>
      </c>
      <c r="N937" s="24"/>
      <c r="O937" s="22"/>
    </row>
    <row collapsed="false" customFormat="false" customHeight="false" hidden="false" ht="12.1" outlineLevel="0" r="938">
      <c r="A938" s="21" t="n">
        <v>45782.473877315</v>
      </c>
      <c r="B938" s="22" t="s">
        <v>1063</v>
      </c>
      <c r="C938" s="22" t="s">
        <v>1181</v>
      </c>
      <c r="D938" s="22" t="s">
        <v>1063</v>
      </c>
      <c r="E938" s="22" t="s">
        <v>1063</v>
      </c>
      <c r="F938" s="22" t="s">
        <v>19</v>
      </c>
      <c r="G938" s="23" t="n">
        <v>1</v>
      </c>
      <c r="H938" s="24" t="n">
        <v>1</v>
      </c>
      <c r="I938" s="24" t="n">
        <v>52.59</v>
      </c>
      <c r="J938" s="24" t="n">
        <v>0</v>
      </c>
      <c r="K938" s="24" t="n">
        <v>0</v>
      </c>
      <c r="L938" s="24" t="n">
        <v>0</v>
      </c>
      <c r="M938" s="6" t="s">
        <f>=I938+J938+K938+L938</f>
      </c>
      <c r="N938" s="24"/>
      <c r="O938" s="22"/>
    </row>
    <row collapsed="false" customFormat="false" customHeight="false" hidden="false" ht="12.1" outlineLevel="0" r="939">
      <c r="A939" s="21" t="n">
        <v>45782.723854167</v>
      </c>
      <c r="B939" s="22" t="s">
        <v>1063</v>
      </c>
      <c r="C939" s="22" t="s">
        <v>1101</v>
      </c>
      <c r="D939" s="22" t="s">
        <v>1063</v>
      </c>
      <c r="E939" s="22" t="s">
        <v>1063</v>
      </c>
      <c r="F939" s="22" t="s">
        <v>19</v>
      </c>
      <c r="G939" s="23" t="n">
        <v>1</v>
      </c>
      <c r="H939" s="24" t="n">
        <v>1</v>
      </c>
      <c r="I939" s="24" t="n">
        <v>42.38</v>
      </c>
      <c r="J939" s="24" t="n">
        <v>0</v>
      </c>
      <c r="K939" s="24" t="n">
        <v>0</v>
      </c>
      <c r="L939" s="24" t="n">
        <v>0</v>
      </c>
      <c r="M939" s="6" t="s">
        <f>=I939+J939+K939+L939</f>
      </c>
      <c r="N939" s="24"/>
      <c r="O939" s="22"/>
    </row>
    <row collapsed="false" customFormat="false" customHeight="false" hidden="false" ht="12.1" outlineLevel="0" r="940">
      <c r="A940" s="21" t="n">
        <v>45782.739201389</v>
      </c>
      <c r="B940" s="22" t="s">
        <v>1073</v>
      </c>
      <c r="C940" s="22" t="s">
        <v>1312</v>
      </c>
      <c r="D940" s="22" t="s">
        <v>1073</v>
      </c>
      <c r="E940" s="22" t="s">
        <v>1073</v>
      </c>
      <c r="F940" s="22" t="s">
        <v>19</v>
      </c>
      <c r="G940" s="23" t="n">
        <v>1</v>
      </c>
      <c r="H940" s="24" t="n">
        <v>1</v>
      </c>
      <c r="I940" s="24" t="n">
        <v>1000</v>
      </c>
      <c r="J940" s="24" t="n">
        <v>0</v>
      </c>
      <c r="K940" s="24" t="n">
        <v>0</v>
      </c>
      <c r="L940" s="24" t="n">
        <v>0</v>
      </c>
      <c r="M940" s="6" t="s">
        <f>=I940+J940+K940+L940</f>
      </c>
      <c r="N940" s="24"/>
      <c r="O940" s="22"/>
    </row>
    <row collapsed="false" customFormat="false" customHeight="false" hidden="false" ht="12.1" outlineLevel="0" r="941">
      <c r="A941" s="21" t="n">
        <v>45782.838171296</v>
      </c>
      <c r="B941" s="22" t="s">
        <v>1063</v>
      </c>
      <c r="C941" s="22" t="s">
        <v>1313</v>
      </c>
      <c r="D941" s="22" t="s">
        <v>1063</v>
      </c>
      <c r="E941" s="22" t="s">
        <v>1063</v>
      </c>
      <c r="F941" s="22" t="s">
        <v>19</v>
      </c>
      <c r="G941" s="23" t="n">
        <v>1</v>
      </c>
      <c r="H941" s="24" t="n">
        <v>1</v>
      </c>
      <c r="I941" s="24" t="n">
        <v>59.19</v>
      </c>
      <c r="J941" s="24" t="n">
        <v>0</v>
      </c>
      <c r="K941" s="24" t="n">
        <v>0</v>
      </c>
      <c r="L941" s="24" t="n">
        <v>0</v>
      </c>
      <c r="M941" s="6" t="s">
        <f>=I941+J941+K941+L941</f>
      </c>
      <c r="N941" s="24"/>
      <c r="O941" s="22"/>
    </row>
    <row collapsed="false" customFormat="false" customHeight="false" hidden="false" ht="12.1" outlineLevel="0" r="942">
      <c r="A942" s="21" t="n">
        <v>45782.840949074</v>
      </c>
      <c r="B942" s="22" t="s">
        <v>1063</v>
      </c>
      <c r="C942" s="22" t="s">
        <v>1174</v>
      </c>
      <c r="D942" s="22" t="s">
        <v>1063</v>
      </c>
      <c r="E942" s="22" t="s">
        <v>1063</v>
      </c>
      <c r="F942" s="22" t="s">
        <v>19</v>
      </c>
      <c r="G942" s="23" t="n">
        <v>1</v>
      </c>
      <c r="H942" s="24" t="n">
        <v>1</v>
      </c>
      <c r="I942" s="24" t="n">
        <v>38.76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4"/>
      <c r="O942" s="22"/>
    </row>
    <row collapsed="false" customFormat="false" customHeight="false" hidden="false" ht="12.1" outlineLevel="0" r="943">
      <c r="A943" s="21" t="n">
        <v>45783.481261574</v>
      </c>
      <c r="B943" s="22" t="s">
        <v>1063</v>
      </c>
      <c r="C943" s="22" t="s">
        <v>1258</v>
      </c>
      <c r="D943" s="22" t="s">
        <v>1063</v>
      </c>
      <c r="E943" s="22" t="s">
        <v>1063</v>
      </c>
      <c r="F943" s="22" t="s">
        <v>19</v>
      </c>
      <c r="G943" s="23" t="n">
        <v>1</v>
      </c>
      <c r="H943" s="24" t="n">
        <v>1</v>
      </c>
      <c r="I943" s="24" t="n">
        <v>23.86</v>
      </c>
      <c r="J943" s="24" t="n">
        <v>0</v>
      </c>
      <c r="K943" s="24" t="n">
        <v>0</v>
      </c>
      <c r="L943" s="24" t="n">
        <v>0</v>
      </c>
      <c r="M943" s="6" t="s">
        <f>=I943+J943+K943+L943</f>
      </c>
      <c r="N943" s="24"/>
      <c r="O943" s="22"/>
    </row>
    <row collapsed="false" customFormat="false" customHeight="false" hidden="false" ht="12.1" outlineLevel="0" r="944">
      <c r="A944" s="21" t="n">
        <v>45789.499814815</v>
      </c>
      <c r="B944" s="22" t="s">
        <v>1063</v>
      </c>
      <c r="C944" s="22" t="s">
        <v>1314</v>
      </c>
      <c r="D944" s="22" t="s">
        <v>1063</v>
      </c>
      <c r="E944" s="22" t="s">
        <v>1063</v>
      </c>
      <c r="F944" s="22" t="s">
        <v>19</v>
      </c>
      <c r="G944" s="23" t="n">
        <v>1</v>
      </c>
      <c r="H944" s="24" t="n">
        <v>1</v>
      </c>
      <c r="I944" s="24" t="n">
        <v>19.24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4"/>
      <c r="O944" s="22"/>
    </row>
    <row collapsed="false" customFormat="false" customHeight="false" hidden="false" ht="12.1" outlineLevel="0" r="945">
      <c r="A945" s="21" t="n">
        <v>45790.559664352</v>
      </c>
      <c r="B945" s="22" t="s">
        <v>1063</v>
      </c>
      <c r="C945" s="22" t="s">
        <v>1315</v>
      </c>
      <c r="D945" s="22" t="s">
        <v>1063</v>
      </c>
      <c r="E945" s="22" t="s">
        <v>1063</v>
      </c>
      <c r="F945" s="22" t="s">
        <v>19</v>
      </c>
      <c r="G945" s="23" t="n">
        <v>1</v>
      </c>
      <c r="H945" s="24" t="n">
        <v>1</v>
      </c>
      <c r="I945" s="24" t="n">
        <v>297.2</v>
      </c>
      <c r="J945" s="24" t="n">
        <v>0</v>
      </c>
      <c r="K945" s="24" t="n">
        <v>0</v>
      </c>
      <c r="L945" s="24" t="n">
        <v>0</v>
      </c>
      <c r="M945" s="6" t="s">
        <f>=I945+J945+K945+L945</f>
      </c>
      <c r="N945" s="24"/>
      <c r="O945" s="22"/>
    </row>
    <row collapsed="false" customFormat="false" customHeight="false" hidden="false" ht="12.1" outlineLevel="0" r="946">
      <c r="A946" s="25" t="n">
        <v>45790.559664352</v>
      </c>
      <c r="B946" s="26" t="s">
        <v>1089</v>
      </c>
      <c r="C946" s="26" t="s">
        <v>1316</v>
      </c>
      <c r="D946" s="26" t="s">
        <v>1089</v>
      </c>
      <c r="E946" s="26" t="s">
        <v>1089</v>
      </c>
      <c r="F946" s="26" t="s">
        <v>19</v>
      </c>
      <c r="G946" s="27" t="n">
        <v>1</v>
      </c>
      <c r="H946" s="28" t="n">
        <v>-39</v>
      </c>
      <c r="I946" s="28" t="n">
        <v>-39</v>
      </c>
      <c r="J946" s="28" t="n">
        <v>0</v>
      </c>
      <c r="K946" s="28" t="n">
        <v>0</v>
      </c>
      <c r="L946" s="28" t="n">
        <v>0</v>
      </c>
      <c r="M946" s="6" t="s">
        <f>=I946+J946+K946+L946</f>
      </c>
      <c r="N946" s="28"/>
      <c r="O946" s="26"/>
    </row>
    <row collapsed="false" customFormat="false" customHeight="false" hidden="false" ht="12.1" outlineLevel="0" r="947">
      <c r="A947" s="21" t="n">
        <v>45790.647256944</v>
      </c>
      <c r="B947" s="22" t="s">
        <v>1063</v>
      </c>
      <c r="C947" s="22" t="s">
        <v>1317</v>
      </c>
      <c r="D947" s="22" t="s">
        <v>1063</v>
      </c>
      <c r="E947" s="22" t="s">
        <v>1063</v>
      </c>
      <c r="F947" s="22" t="s">
        <v>19</v>
      </c>
      <c r="G947" s="23" t="n">
        <v>1</v>
      </c>
      <c r="H947" s="24" t="n">
        <v>1</v>
      </c>
      <c r="I947" s="24" t="n">
        <v>90.76</v>
      </c>
      <c r="J947" s="24" t="n">
        <v>0</v>
      </c>
      <c r="K947" s="24" t="n">
        <v>0</v>
      </c>
      <c r="L947" s="24" t="n">
        <v>0</v>
      </c>
      <c r="M947" s="6" t="s">
        <f>=I947+J947+K947+L947</f>
      </c>
      <c r="N947" s="24"/>
      <c r="O947" s="22"/>
    </row>
    <row collapsed="false" customFormat="false" customHeight="false" hidden="false" ht="12.1" outlineLevel="0" r="948">
      <c r="A948" s="21" t="n">
        <v>45790.675393519</v>
      </c>
      <c r="B948" s="22" t="s">
        <v>1063</v>
      </c>
      <c r="C948" s="22" t="s">
        <v>1318</v>
      </c>
      <c r="D948" s="22" t="s">
        <v>1063</v>
      </c>
      <c r="E948" s="22" t="s">
        <v>1063</v>
      </c>
      <c r="F948" s="22" t="s">
        <v>19</v>
      </c>
      <c r="G948" s="23" t="n">
        <v>1</v>
      </c>
      <c r="H948" s="24" t="n">
        <v>1</v>
      </c>
      <c r="I948" s="24" t="n">
        <v>19.11</v>
      </c>
      <c r="J948" s="24" t="n">
        <v>0</v>
      </c>
      <c r="K948" s="24" t="n">
        <v>0</v>
      </c>
      <c r="L948" s="24" t="n">
        <v>0</v>
      </c>
      <c r="M948" s="6" t="s">
        <f>=I948+J948+K948+L948</f>
      </c>
      <c r="N948" s="24"/>
      <c r="O948" s="22"/>
    </row>
    <row collapsed="false" customFormat="false" customHeight="false" hidden="false" ht="12.1" outlineLevel="0" r="949">
      <c r="A949" s="21" t="n">
        <v>45792.482314815</v>
      </c>
      <c r="B949" s="22" t="s">
        <v>1063</v>
      </c>
      <c r="C949" s="22" t="s">
        <v>1214</v>
      </c>
      <c r="D949" s="22" t="s">
        <v>1063</v>
      </c>
      <c r="E949" s="22" t="s">
        <v>1063</v>
      </c>
      <c r="F949" s="22" t="s">
        <v>19</v>
      </c>
      <c r="G949" s="23" t="n">
        <v>1</v>
      </c>
      <c r="H949" s="24" t="n">
        <v>1</v>
      </c>
      <c r="I949" s="24" t="n">
        <v>4.67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4"/>
      <c r="O949" s="22"/>
    </row>
    <row collapsed="false" customFormat="false" customHeight="false" hidden="false" ht="12.1" outlineLevel="0" r="950">
      <c r="A950" s="21" t="n">
        <v>45792.495636574</v>
      </c>
      <c r="B950" s="22" t="s">
        <v>1063</v>
      </c>
      <c r="C950" s="22" t="s">
        <v>1102</v>
      </c>
      <c r="D950" s="22" t="s">
        <v>1063</v>
      </c>
      <c r="E950" s="22" t="s">
        <v>1063</v>
      </c>
      <c r="F950" s="22" t="s">
        <v>19</v>
      </c>
      <c r="G950" s="23" t="n">
        <v>1</v>
      </c>
      <c r="H950" s="24" t="n">
        <v>1</v>
      </c>
      <c r="I950" s="24" t="n">
        <v>1033.89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4"/>
      <c r="O950" s="22"/>
    </row>
    <row collapsed="false" customFormat="false" customHeight="false" hidden="false" ht="12.1" outlineLevel="0" r="951">
      <c r="A951" s="21" t="n">
        <v>45796.498935185</v>
      </c>
      <c r="B951" s="22" t="s">
        <v>1063</v>
      </c>
      <c r="C951" s="22" t="s">
        <v>1303</v>
      </c>
      <c r="D951" s="22" t="s">
        <v>1063</v>
      </c>
      <c r="E951" s="22" t="s">
        <v>1063</v>
      </c>
      <c r="F951" s="22" t="s">
        <v>19</v>
      </c>
      <c r="G951" s="23" t="n">
        <v>1</v>
      </c>
      <c r="H951" s="24" t="n">
        <v>1</v>
      </c>
      <c r="I951" s="24" t="n">
        <v>19.21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4"/>
      <c r="O951" s="22"/>
    </row>
    <row collapsed="false" customFormat="false" customHeight="false" hidden="false" ht="12.1" outlineLevel="0" r="952">
      <c r="A952" s="25" t="n">
        <v>45796.626712963</v>
      </c>
      <c r="B952" s="26" t="s">
        <v>1089</v>
      </c>
      <c r="C952" s="26" t="s">
        <v>1211</v>
      </c>
      <c r="D952" s="26" t="s">
        <v>1089</v>
      </c>
      <c r="E952" s="26" t="s">
        <v>1089</v>
      </c>
      <c r="F952" s="26" t="s">
        <v>19</v>
      </c>
      <c r="G952" s="27" t="n">
        <v>1</v>
      </c>
      <c r="H952" s="28" t="n">
        <v>-6</v>
      </c>
      <c r="I952" s="28" t="n">
        <v>-6</v>
      </c>
      <c r="J952" s="28" t="n">
        <v>0</v>
      </c>
      <c r="K952" s="28" t="n">
        <v>0</v>
      </c>
      <c r="L952" s="28" t="n">
        <v>0</v>
      </c>
      <c r="M952" s="6" t="s">
        <f>=I952+J952+K952+L952</f>
      </c>
      <c r="N952" s="28"/>
      <c r="O952" s="26"/>
    </row>
    <row collapsed="false" customFormat="false" customHeight="false" hidden="false" ht="12.1" outlineLevel="0" r="953">
      <c r="A953" s="21" t="n">
        <v>45796.626712963</v>
      </c>
      <c r="B953" s="22" t="s">
        <v>1063</v>
      </c>
      <c r="C953" s="22" t="s">
        <v>1210</v>
      </c>
      <c r="D953" s="22" t="s">
        <v>1063</v>
      </c>
      <c r="E953" s="22" t="s">
        <v>1063</v>
      </c>
      <c r="F953" s="22" t="s">
        <v>19</v>
      </c>
      <c r="G953" s="23" t="n">
        <v>1</v>
      </c>
      <c r="H953" s="24" t="n">
        <v>1</v>
      </c>
      <c r="I953" s="24" t="n">
        <v>46.65</v>
      </c>
      <c r="J953" s="24" t="n">
        <v>0</v>
      </c>
      <c r="K953" s="24" t="n">
        <v>0</v>
      </c>
      <c r="L953" s="24" t="n">
        <v>0</v>
      </c>
      <c r="M953" s="6" t="s">
        <f>=I953+J953+K953+L953</f>
      </c>
      <c r="N953" s="24"/>
      <c r="O953" s="22"/>
    </row>
    <row collapsed="false" customFormat="false" customHeight="false" hidden="false" ht="12.1" outlineLevel="0" r="954">
      <c r="A954" s="21" t="n">
        <v>45797.538773148</v>
      </c>
      <c r="B954" s="22" t="s">
        <v>1063</v>
      </c>
      <c r="C954" s="22" t="s">
        <v>1137</v>
      </c>
      <c r="D954" s="22" t="s">
        <v>1063</v>
      </c>
      <c r="E954" s="22" t="s">
        <v>1063</v>
      </c>
      <c r="F954" s="22" t="s">
        <v>19</v>
      </c>
      <c r="G954" s="23" t="n">
        <v>1</v>
      </c>
      <c r="H954" s="24" t="n">
        <v>1</v>
      </c>
      <c r="I954" s="24" t="n">
        <v>12.96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4"/>
      <c r="O954" s="22"/>
    </row>
    <row collapsed="false" customFormat="false" customHeight="false" hidden="false" ht="12.1" outlineLevel="0" r="955">
      <c r="A955" s="21" t="n">
        <v>45797.540092593</v>
      </c>
      <c r="B955" s="22" t="s">
        <v>1073</v>
      </c>
      <c r="C955" s="22" t="s">
        <v>1319</v>
      </c>
      <c r="D955" s="22" t="s">
        <v>1073</v>
      </c>
      <c r="E955" s="22" t="s">
        <v>1073</v>
      </c>
      <c r="F955" s="22" t="s">
        <v>19</v>
      </c>
      <c r="G955" s="23" t="n">
        <v>1</v>
      </c>
      <c r="H955" s="24" t="n">
        <v>1</v>
      </c>
      <c r="I955" s="24" t="n">
        <v>400</v>
      </c>
      <c r="J955" s="24" t="n">
        <v>0</v>
      </c>
      <c r="K955" s="24" t="n">
        <v>0</v>
      </c>
      <c r="L955" s="24" t="n">
        <v>0</v>
      </c>
      <c r="M955" s="6" t="s">
        <f>=I955+J955+K955+L955</f>
      </c>
      <c r="N955" s="24"/>
      <c r="O955" s="22"/>
    </row>
    <row collapsed="false" customFormat="false" customHeight="false" hidden="false" ht="12.1" outlineLevel="0" r="956">
      <c r="A956" s="21" t="n">
        <v>45799.278125</v>
      </c>
      <c r="B956" s="22" t="s">
        <v>1063</v>
      </c>
      <c r="C956" s="22" t="s">
        <v>1320</v>
      </c>
      <c r="D956" s="22" t="s">
        <v>1063</v>
      </c>
      <c r="E956" s="22" t="s">
        <v>1063</v>
      </c>
      <c r="F956" s="22" t="s">
        <v>19</v>
      </c>
      <c r="G956" s="23" t="n">
        <v>1</v>
      </c>
      <c r="H956" s="24" t="n">
        <v>1</v>
      </c>
      <c r="I956" s="24" t="n">
        <v>192</v>
      </c>
      <c r="J956" s="24" t="n">
        <v>0</v>
      </c>
      <c r="K956" s="24" t="n">
        <v>0</v>
      </c>
      <c r="L956" s="24" t="n">
        <v>0</v>
      </c>
      <c r="M956" s="6" t="s">
        <f>=I956+J956+K956+L956</f>
      </c>
      <c r="N956" s="24"/>
      <c r="O956" s="22"/>
    </row>
    <row collapsed="false" customFormat="false" customHeight="false" hidden="false" ht="12.1" outlineLevel="0" r="957">
      <c r="A957" s="25" t="n">
        <v>45799.278125</v>
      </c>
      <c r="B957" s="26" t="s">
        <v>1089</v>
      </c>
      <c r="C957" s="26" t="s">
        <v>1321</v>
      </c>
      <c r="D957" s="26" t="s">
        <v>1089</v>
      </c>
      <c r="E957" s="26" t="s">
        <v>1089</v>
      </c>
      <c r="F957" s="26" t="s">
        <v>19</v>
      </c>
      <c r="G957" s="27" t="n">
        <v>1</v>
      </c>
      <c r="H957" s="28" t="n">
        <v>-25</v>
      </c>
      <c r="I957" s="28" t="n">
        <v>-25</v>
      </c>
      <c r="J957" s="28" t="n">
        <v>0</v>
      </c>
      <c r="K957" s="28" t="n">
        <v>0</v>
      </c>
      <c r="L957" s="28" t="n">
        <v>0</v>
      </c>
      <c r="M957" s="6" t="s">
        <f>=I957+J957+K957+L957</f>
      </c>
      <c r="N957" s="28"/>
      <c r="O957" s="26"/>
    </row>
    <row collapsed="false" customFormat="false" customHeight="false" hidden="false" ht="12.1" outlineLevel="0" r="958">
      <c r="A958" s="21" t="n">
        <v>45799.507858796</v>
      </c>
      <c r="B958" s="22" t="s">
        <v>1063</v>
      </c>
      <c r="C958" s="22" t="s">
        <v>1183</v>
      </c>
      <c r="D958" s="22" t="s">
        <v>1063</v>
      </c>
      <c r="E958" s="22" t="s">
        <v>1063</v>
      </c>
      <c r="F958" s="22" t="s">
        <v>19</v>
      </c>
      <c r="G958" s="23" t="n">
        <v>1</v>
      </c>
      <c r="H958" s="24" t="n">
        <v>1</v>
      </c>
      <c r="I958" s="24" t="n">
        <v>89.94</v>
      </c>
      <c r="J958" s="24" t="n">
        <v>0</v>
      </c>
      <c r="K958" s="24" t="n">
        <v>0</v>
      </c>
      <c r="L958" s="24" t="n">
        <v>0</v>
      </c>
      <c r="M958" s="6" t="s">
        <f>=I958+J958+K958+L958</f>
      </c>
      <c r="N958" s="24"/>
      <c r="O958" s="22"/>
    </row>
    <row collapsed="false" customFormat="false" customHeight="false" hidden="false" ht="12.1" outlineLevel="0" r="959">
      <c r="A959" s="21" t="n">
        <v>45799.572280093</v>
      </c>
      <c r="B959" s="22" t="s">
        <v>1063</v>
      </c>
      <c r="C959" s="22" t="s">
        <v>1104</v>
      </c>
      <c r="D959" s="22" t="s">
        <v>1063</v>
      </c>
      <c r="E959" s="22" t="s">
        <v>1063</v>
      </c>
      <c r="F959" s="22" t="s">
        <v>19</v>
      </c>
      <c r="G959" s="23" t="n">
        <v>1</v>
      </c>
      <c r="H959" s="24" t="n">
        <v>1</v>
      </c>
      <c r="I959" s="24" t="n">
        <v>361.5</v>
      </c>
      <c r="J959" s="24" t="n">
        <v>0</v>
      </c>
      <c r="K959" s="24" t="n">
        <v>0</v>
      </c>
      <c r="L959" s="24" t="n">
        <v>0</v>
      </c>
      <c r="M959" s="6" t="s">
        <f>=I959+J959+K959+L959</f>
      </c>
      <c r="N959" s="24"/>
      <c r="O959" s="22"/>
    </row>
    <row collapsed="false" customFormat="false" customHeight="false" hidden="false" ht="12.1" outlineLevel="0" r="960">
      <c r="A960" s="21" t="n">
        <v>45800.468784722</v>
      </c>
      <c r="B960" s="22" t="s">
        <v>1063</v>
      </c>
      <c r="C960" s="22" t="s">
        <v>1142</v>
      </c>
      <c r="D960" s="22" t="s">
        <v>1063</v>
      </c>
      <c r="E960" s="22" t="s">
        <v>1063</v>
      </c>
      <c r="F960" s="22" t="s">
        <v>19</v>
      </c>
      <c r="G960" s="23" t="n">
        <v>1</v>
      </c>
      <c r="H960" s="24" t="n">
        <v>1</v>
      </c>
      <c r="I960" s="24" t="n">
        <v>6.5</v>
      </c>
      <c r="J960" s="24" t="n">
        <v>0</v>
      </c>
      <c r="K960" s="24" t="n">
        <v>0</v>
      </c>
      <c r="L960" s="24" t="n">
        <v>0</v>
      </c>
      <c r="M960" s="6" t="s">
        <f>=I960+J960+K960+L960</f>
      </c>
      <c r="N960" s="24"/>
      <c r="O960" s="22"/>
    </row>
    <row collapsed="false" customFormat="false" customHeight="false" hidden="false" ht="12.1" outlineLevel="0" r="961">
      <c r="A961" s="21" t="n">
        <v>45800.47349537</v>
      </c>
      <c r="B961" s="22" t="s">
        <v>1063</v>
      </c>
      <c r="C961" s="22" t="s">
        <v>1322</v>
      </c>
      <c r="D961" s="22" t="s">
        <v>1063</v>
      </c>
      <c r="E961" s="22" t="s">
        <v>1063</v>
      </c>
      <c r="F961" s="22" t="s">
        <v>19</v>
      </c>
      <c r="G961" s="23" t="n">
        <v>1</v>
      </c>
      <c r="H961" s="24" t="n">
        <v>1</v>
      </c>
      <c r="I961" s="24" t="n">
        <v>20.96</v>
      </c>
      <c r="J961" s="24" t="n">
        <v>0</v>
      </c>
      <c r="K961" s="24" t="n">
        <v>0</v>
      </c>
      <c r="L961" s="24" t="n">
        <v>0</v>
      </c>
      <c r="M961" s="6" t="s">
        <f>=I961+J961+K961+L961</f>
      </c>
      <c r="N961" s="24"/>
      <c r="O961" s="22"/>
    </row>
    <row collapsed="false" customFormat="false" customHeight="false" hidden="false" ht="12.1" outlineLevel="0" r="962">
      <c r="A962" s="21" t="n">
        <v>45803.457326389</v>
      </c>
      <c r="B962" s="22" t="s">
        <v>1063</v>
      </c>
      <c r="C962" s="22" t="s">
        <v>1251</v>
      </c>
      <c r="D962" s="22" t="s">
        <v>1063</v>
      </c>
      <c r="E962" s="22" t="s">
        <v>1063</v>
      </c>
      <c r="F962" s="22" t="s">
        <v>19</v>
      </c>
      <c r="G962" s="23" t="n">
        <v>1</v>
      </c>
      <c r="H962" s="24" t="n">
        <v>1</v>
      </c>
      <c r="I962" s="24" t="n">
        <v>11.18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4"/>
      <c r="O962" s="22"/>
    </row>
    <row collapsed="false" customFormat="false" customHeight="false" hidden="false" ht="12.1" outlineLevel="0" r="963">
      <c r="A963" s="21" t="n">
        <v>45804.516631944</v>
      </c>
      <c r="B963" s="22" t="s">
        <v>1063</v>
      </c>
      <c r="C963" s="22" t="s">
        <v>1235</v>
      </c>
      <c r="D963" s="22" t="s">
        <v>1063</v>
      </c>
      <c r="E963" s="22" t="s">
        <v>1063</v>
      </c>
      <c r="F963" s="22" t="s">
        <v>19</v>
      </c>
      <c r="G963" s="23" t="n">
        <v>1</v>
      </c>
      <c r="H963" s="24" t="n">
        <v>1</v>
      </c>
      <c r="I963" s="24" t="n">
        <v>36.32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4"/>
      <c r="O963" s="22"/>
    </row>
    <row collapsed="false" customFormat="false" customHeight="false" hidden="false" ht="12.1" outlineLevel="0" r="964">
      <c r="A964" s="21" t="n">
        <v>45805.476296296</v>
      </c>
      <c r="B964" s="22" t="s">
        <v>1063</v>
      </c>
      <c r="C964" s="22" t="s">
        <v>1261</v>
      </c>
      <c r="D964" s="22" t="s">
        <v>1063</v>
      </c>
      <c r="E964" s="22" t="s">
        <v>1063</v>
      </c>
      <c r="F964" s="22" t="s">
        <v>19</v>
      </c>
      <c r="G964" s="23" t="n">
        <v>1</v>
      </c>
      <c r="H964" s="24" t="n">
        <v>1</v>
      </c>
      <c r="I964" s="24" t="n">
        <v>74.79</v>
      </c>
      <c r="J964" s="24" t="n">
        <v>0</v>
      </c>
      <c r="K964" s="24" t="n">
        <v>0</v>
      </c>
      <c r="L964" s="24" t="n">
        <v>0</v>
      </c>
      <c r="M964" s="6" t="s">
        <f>=I964+J964+K964+L964</f>
      </c>
      <c r="N964" s="24"/>
      <c r="O964" s="22"/>
    </row>
    <row collapsed="false" customFormat="false" customHeight="false" hidden="false" ht="12.1" outlineLevel="0" r="965">
      <c r="A965" s="21" t="n">
        <v>45805.780416667</v>
      </c>
      <c r="B965" s="22" t="s">
        <v>1063</v>
      </c>
      <c r="C965" s="22" t="s">
        <v>1216</v>
      </c>
      <c r="D965" s="22" t="s">
        <v>1063</v>
      </c>
      <c r="E965" s="22" t="s">
        <v>1063</v>
      </c>
      <c r="F965" s="22" t="s">
        <v>19</v>
      </c>
      <c r="G965" s="23" t="n">
        <v>1</v>
      </c>
      <c r="H965" s="24" t="n">
        <v>1</v>
      </c>
      <c r="I965" s="24" t="n">
        <v>473.7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4"/>
      <c r="O965" s="22"/>
    </row>
    <row collapsed="false" customFormat="false" customHeight="false" hidden="false" ht="12.1" outlineLevel="0" r="966">
      <c r="A966" s="21" t="n">
        <v>45805.903796296</v>
      </c>
      <c r="B966" s="22" t="s">
        <v>1063</v>
      </c>
      <c r="C966" s="22" t="s">
        <v>1262</v>
      </c>
      <c r="D966" s="22" t="s">
        <v>1063</v>
      </c>
      <c r="E966" s="22" t="s">
        <v>1063</v>
      </c>
      <c r="F966" s="22" t="s">
        <v>19</v>
      </c>
      <c r="G966" s="23" t="n">
        <v>1</v>
      </c>
      <c r="H966" s="24" t="n">
        <v>1</v>
      </c>
      <c r="I966" s="24" t="n">
        <v>366.48</v>
      </c>
      <c r="J966" s="24" t="n">
        <v>0</v>
      </c>
      <c r="K966" s="24" t="n">
        <v>0</v>
      </c>
      <c r="L966" s="24" t="n">
        <v>0</v>
      </c>
      <c r="M966" s="6" t="s">
        <f>=I966+J966+K966+L966</f>
      </c>
      <c r="N966" s="24"/>
      <c r="O966" s="22"/>
    </row>
    <row collapsed="false" customFormat="false" customHeight="false" hidden="false" ht="12.1" outlineLevel="0" r="967">
      <c r="A967" s="21" t="n">
        <v>45807.402939815</v>
      </c>
      <c r="B967" s="22" t="s">
        <v>1063</v>
      </c>
      <c r="C967" s="22" t="s">
        <v>1323</v>
      </c>
      <c r="D967" s="22" t="s">
        <v>1063</v>
      </c>
      <c r="E967" s="22" t="s">
        <v>1063</v>
      </c>
      <c r="F967" s="22" t="s">
        <v>19</v>
      </c>
      <c r="G967" s="23" t="n">
        <v>1</v>
      </c>
      <c r="H967" s="24" t="n">
        <v>1</v>
      </c>
      <c r="I967" s="24" t="n">
        <v>19.48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4"/>
      <c r="O967" s="22"/>
    </row>
    <row collapsed="false" customFormat="false" customHeight="false" hidden="false" ht="12.1" outlineLevel="0" r="968">
      <c r="A968" s="21" t="n">
        <v>45807.417175926</v>
      </c>
      <c r="B968" s="22" t="s">
        <v>1063</v>
      </c>
      <c r="C968" s="22" t="s">
        <v>1207</v>
      </c>
      <c r="D968" s="22" t="s">
        <v>1063</v>
      </c>
      <c r="E968" s="22" t="s">
        <v>1063</v>
      </c>
      <c r="F968" s="22" t="s">
        <v>19</v>
      </c>
      <c r="G968" s="23" t="n">
        <v>1</v>
      </c>
      <c r="H968" s="24" t="n">
        <v>1</v>
      </c>
      <c r="I968" s="24" t="n">
        <v>19.2</v>
      </c>
      <c r="J968" s="24" t="n">
        <v>0</v>
      </c>
      <c r="K968" s="24" t="n">
        <v>0</v>
      </c>
      <c r="L968" s="24" t="n">
        <v>0</v>
      </c>
      <c r="M968" s="6" t="s">
        <f>=I968+J968+K968+L968</f>
      </c>
      <c r="N968" s="24"/>
      <c r="O968" s="22"/>
    </row>
    <row collapsed="false" customFormat="false" customHeight="false" hidden="false" ht="12.1" outlineLevel="0" r="969">
      <c r="A969" s="21" t="n">
        <v>45810.462835648</v>
      </c>
      <c r="B969" s="22" t="s">
        <v>1063</v>
      </c>
      <c r="C969" s="22" t="s">
        <v>1105</v>
      </c>
      <c r="D969" s="22" t="s">
        <v>1063</v>
      </c>
      <c r="E969" s="22" t="s">
        <v>1063</v>
      </c>
      <c r="F969" s="22" t="s">
        <v>19</v>
      </c>
      <c r="G969" s="23" t="n">
        <v>1</v>
      </c>
      <c r="H969" s="24" t="n">
        <v>1</v>
      </c>
      <c r="I969" s="24" t="n">
        <v>24.81</v>
      </c>
      <c r="J969" s="24" t="n">
        <v>0</v>
      </c>
      <c r="K969" s="24" t="n">
        <v>0</v>
      </c>
      <c r="L969" s="24" t="n">
        <v>0</v>
      </c>
      <c r="M969" s="6" t="s">
        <f>=I969+J969+K969+L969</f>
      </c>
      <c r="N969" s="24"/>
      <c r="O969" s="22"/>
    </row>
    <row collapsed="false" customFormat="false" customHeight="false" hidden="false" ht="12.1" outlineLevel="0" r="970">
      <c r="A970" s="21" t="n">
        <v>45811.446296296</v>
      </c>
      <c r="B970" s="22" t="s">
        <v>1063</v>
      </c>
      <c r="C970" s="22" t="s">
        <v>1218</v>
      </c>
      <c r="D970" s="22" t="s">
        <v>1063</v>
      </c>
      <c r="E970" s="22" t="s">
        <v>1063</v>
      </c>
      <c r="F970" s="22" t="s">
        <v>19</v>
      </c>
      <c r="G970" s="23" t="n">
        <v>1</v>
      </c>
      <c r="H970" s="24" t="n">
        <v>1</v>
      </c>
      <c r="I970" s="24" t="n">
        <v>39.9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4"/>
      <c r="O970" s="22"/>
    </row>
    <row collapsed="false" customFormat="false" customHeight="false" hidden="false" ht="12.1" outlineLevel="0" r="971">
      <c r="A971" s="21" t="n">
        <v>45811.495763889</v>
      </c>
      <c r="B971" s="22" t="s">
        <v>1063</v>
      </c>
      <c r="C971" s="22" t="s">
        <v>1324</v>
      </c>
      <c r="D971" s="22" t="s">
        <v>1063</v>
      </c>
      <c r="E971" s="22" t="s">
        <v>1063</v>
      </c>
      <c r="F971" s="22" t="s">
        <v>19</v>
      </c>
      <c r="G971" s="23" t="n">
        <v>1</v>
      </c>
      <c r="H971" s="24" t="n">
        <v>1</v>
      </c>
      <c r="I971" s="24" t="n">
        <v>25.68</v>
      </c>
      <c r="J971" s="24" t="n">
        <v>0</v>
      </c>
      <c r="K971" s="24" t="n">
        <v>0</v>
      </c>
      <c r="L971" s="24" t="n">
        <v>0</v>
      </c>
      <c r="M971" s="6" t="s">
        <f>=I971+J971+K971+L971</f>
      </c>
      <c r="N971" s="24"/>
      <c r="O971" s="22"/>
    </row>
    <row collapsed="false" customFormat="false" customHeight="false" hidden="false" ht="12.1" outlineLevel="0" r="972">
      <c r="A972" s="21" t="n">
        <v>45811.588530093</v>
      </c>
      <c r="B972" s="22" t="s">
        <v>1063</v>
      </c>
      <c r="C972" s="22" t="s">
        <v>1174</v>
      </c>
      <c r="D972" s="22" t="s">
        <v>1063</v>
      </c>
      <c r="E972" s="22" t="s">
        <v>1063</v>
      </c>
      <c r="F972" s="22" t="s">
        <v>19</v>
      </c>
      <c r="G972" s="23" t="n">
        <v>1</v>
      </c>
      <c r="H972" s="24" t="n">
        <v>1</v>
      </c>
      <c r="I972" s="24" t="n">
        <v>38.6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4"/>
      <c r="O972" s="22"/>
    </row>
    <row collapsed="false" customFormat="false" customHeight="false" hidden="false" ht="12.1" outlineLevel="0" r="973">
      <c r="A973" s="21" t="n">
        <v>45812.495949074</v>
      </c>
      <c r="B973" s="22" t="s">
        <v>1063</v>
      </c>
      <c r="C973" s="22" t="s">
        <v>1184</v>
      </c>
      <c r="D973" s="22" t="s">
        <v>1063</v>
      </c>
      <c r="E973" s="22" t="s">
        <v>1063</v>
      </c>
      <c r="F973" s="22" t="s">
        <v>19</v>
      </c>
      <c r="G973" s="23" t="n">
        <v>1</v>
      </c>
      <c r="H973" s="24" t="n">
        <v>1</v>
      </c>
      <c r="I973" s="24" t="n">
        <v>56.1</v>
      </c>
      <c r="J973" s="24" t="n">
        <v>0</v>
      </c>
      <c r="K973" s="24" t="n">
        <v>0</v>
      </c>
      <c r="L973" s="24" t="n">
        <v>0</v>
      </c>
      <c r="M973" s="6" t="s">
        <f>=I973+J973+K973+L973</f>
      </c>
      <c r="N973" s="24"/>
      <c r="O973" s="22"/>
    </row>
    <row collapsed="false" customFormat="false" customHeight="false" hidden="false" ht="12.1" outlineLevel="0" r="974">
      <c r="A974" s="21" t="n">
        <v>45812.514618056</v>
      </c>
      <c r="B974" s="22" t="s">
        <v>1063</v>
      </c>
      <c r="C974" s="22" t="s">
        <v>1263</v>
      </c>
      <c r="D974" s="22" t="s">
        <v>1063</v>
      </c>
      <c r="E974" s="22" t="s">
        <v>1063</v>
      </c>
      <c r="F974" s="22" t="s">
        <v>19</v>
      </c>
      <c r="G974" s="23" t="n">
        <v>1</v>
      </c>
      <c r="H974" s="24" t="n">
        <v>1</v>
      </c>
      <c r="I974" s="24" t="n">
        <v>29.17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4"/>
      <c r="O974" s="22"/>
    </row>
    <row collapsed="false" customFormat="false" customHeight="false" hidden="false" ht="12.1" outlineLevel="0" r="975">
      <c r="A975" s="21" t="n">
        <v>45812.744212963</v>
      </c>
      <c r="B975" s="22" t="s">
        <v>1063</v>
      </c>
      <c r="C975" s="22" t="s">
        <v>1264</v>
      </c>
      <c r="D975" s="22" t="s">
        <v>1063</v>
      </c>
      <c r="E975" s="22" t="s">
        <v>1063</v>
      </c>
      <c r="F975" s="22" t="s">
        <v>19</v>
      </c>
      <c r="G975" s="23" t="n">
        <v>1</v>
      </c>
      <c r="H975" s="24" t="n">
        <v>1</v>
      </c>
      <c r="I975" s="24" t="n">
        <v>488.64</v>
      </c>
      <c r="J975" s="24" t="n">
        <v>0</v>
      </c>
      <c r="K975" s="24" t="n">
        <v>0</v>
      </c>
      <c r="L975" s="24" t="n">
        <v>0</v>
      </c>
      <c r="M975" s="6" t="s">
        <f>=I975+J975+K975+L975</f>
      </c>
      <c r="N975" s="24"/>
      <c r="O975" s="22"/>
    </row>
    <row collapsed="false" customFormat="false" customHeight="false" hidden="false" ht="12.1" outlineLevel="0" r="976">
      <c r="A976" s="21" t="n">
        <v>45812.776828704</v>
      </c>
      <c r="B976" s="22" t="s">
        <v>1063</v>
      </c>
      <c r="C976" s="22" t="s">
        <v>1150</v>
      </c>
      <c r="D976" s="22" t="s">
        <v>1063</v>
      </c>
      <c r="E976" s="22" t="s">
        <v>1063</v>
      </c>
      <c r="F976" s="22" t="s">
        <v>19</v>
      </c>
      <c r="G976" s="23" t="n">
        <v>1</v>
      </c>
      <c r="H976" s="24" t="n">
        <v>1</v>
      </c>
      <c r="I976" s="24" t="n">
        <v>814.2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4"/>
      <c r="O976" s="22"/>
    </row>
    <row collapsed="false" customFormat="false" customHeight="false" hidden="false" ht="12.1" outlineLevel="0" r="977">
      <c r="A977" s="21" t="n">
        <v>45812.784618056</v>
      </c>
      <c r="B977" s="22" t="s">
        <v>1063</v>
      </c>
      <c r="C977" s="22" t="s">
        <v>1187</v>
      </c>
      <c r="D977" s="22" t="s">
        <v>1063</v>
      </c>
      <c r="E977" s="22" t="s">
        <v>1063</v>
      </c>
      <c r="F977" s="22" t="s">
        <v>19</v>
      </c>
      <c r="G977" s="23" t="n">
        <v>1</v>
      </c>
      <c r="H977" s="24" t="n">
        <v>1</v>
      </c>
      <c r="I977" s="24" t="n">
        <v>586.44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4"/>
      <c r="O977" s="22"/>
    </row>
    <row collapsed="false" customFormat="false" customHeight="false" hidden="false" ht="12.1" outlineLevel="0" r="978">
      <c r="A978" s="21" t="n">
        <v>45813.38662037</v>
      </c>
      <c r="B978" s="22" t="s">
        <v>1056</v>
      </c>
      <c r="C978" s="22" t="s">
        <v>350</v>
      </c>
      <c r="D978" s="22" t="s">
        <v>1056</v>
      </c>
      <c r="E978" s="22" t="s">
        <v>1056</v>
      </c>
      <c r="F978" s="22" t="s">
        <v>19</v>
      </c>
      <c r="G978" s="23" t="n">
        <v>1</v>
      </c>
      <c r="H978" s="24" t="n">
        <v>1</v>
      </c>
      <c r="I978" s="24" t="n">
        <v>6820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4"/>
      <c r="O978" s="22"/>
    </row>
    <row collapsed="false" customFormat="false" customHeight="false" hidden="false" ht="12.1" outlineLevel="0" r="979">
      <c r="A979" s="21" t="n">
        <v>45813.386770833</v>
      </c>
      <c r="B979" s="22" t="s">
        <v>1056</v>
      </c>
      <c r="C979" s="22" t="s">
        <v>350</v>
      </c>
      <c r="D979" s="22" t="s">
        <v>1056</v>
      </c>
      <c r="E979" s="22" t="s">
        <v>1056</v>
      </c>
      <c r="F979" s="22" t="s">
        <v>19</v>
      </c>
      <c r="G979" s="23" t="n">
        <v>1</v>
      </c>
      <c r="H979" s="24" t="n">
        <v>1</v>
      </c>
      <c r="I979" s="24" t="n">
        <v>5000</v>
      </c>
      <c r="J979" s="24" t="n">
        <v>0</v>
      </c>
      <c r="K979" s="24" t="n">
        <v>0</v>
      </c>
      <c r="L979" s="24" t="n">
        <v>0</v>
      </c>
      <c r="M979" s="6" t="s">
        <f>=I979+J979+K979+L979</f>
      </c>
      <c r="N979" s="24"/>
      <c r="O979" s="22"/>
    </row>
    <row collapsed="false" customFormat="false" customHeight="false" hidden="false" ht="12.1" outlineLevel="0" r="980">
      <c r="A980" s="20" t="n">
        <v>45813.462511574</v>
      </c>
      <c r="B980" s="16" t="s">
        <v>1082</v>
      </c>
      <c r="C980" s="16" t="s">
        <v>1083</v>
      </c>
      <c r="D980" s="16" t="s">
        <v>912</v>
      </c>
      <c r="E980" s="16" t="s">
        <v>1084</v>
      </c>
      <c r="F980" s="16" t="s">
        <v>19</v>
      </c>
      <c r="G980" s="7" t="n">
        <v>1</v>
      </c>
      <c r="H980" s="6" t="n">
        <v>8535</v>
      </c>
      <c r="I980" s="6" t="n">
        <v>-8535</v>
      </c>
      <c r="J980" s="6" t="n">
        <v>0</v>
      </c>
      <c r="K980" s="6" t="n">
        <v>-162.17</v>
      </c>
      <c r="L980" s="6" t="n">
        <v>0</v>
      </c>
      <c r="M980" s="6" t="s">
        <f>=I980+J980+K980+L980</f>
      </c>
      <c r="N980" s="6"/>
      <c r="O980" s="16"/>
    </row>
    <row collapsed="false" customFormat="false" customHeight="false" hidden="false" ht="12.1" outlineLevel="0" r="981">
      <c r="A981" s="20" t="n">
        <v>45813.462997685</v>
      </c>
      <c r="B981" s="16" t="s">
        <v>27</v>
      </c>
      <c r="C981" s="16" t="s">
        <v>1299</v>
      </c>
      <c r="D981" s="16" t="s">
        <v>912</v>
      </c>
      <c r="E981" s="16" t="s">
        <v>17</v>
      </c>
      <c r="F981" s="16" t="s">
        <v>19</v>
      </c>
      <c r="G981" s="7" t="n">
        <v>1</v>
      </c>
      <c r="H981" s="6" t="n">
        <v>3306</v>
      </c>
      <c r="I981" s="6" t="n">
        <v>-3306</v>
      </c>
      <c r="J981" s="6" t="n">
        <v>0</v>
      </c>
      <c r="K981" s="6" t="n">
        <v>-9.92</v>
      </c>
      <c r="L981" s="6" t="n">
        <v>0</v>
      </c>
      <c r="M981" s="6" t="s">
        <f>=I981+J981+K981+L981</f>
      </c>
      <c r="N981" s="6"/>
      <c r="O981" s="16"/>
    </row>
    <row collapsed="false" customFormat="false" customHeight="false" hidden="false" ht="12.1" outlineLevel="0" r="982">
      <c r="A982" s="20" t="n">
        <v>45813.465740741</v>
      </c>
      <c r="B982" s="16" t="s">
        <v>151</v>
      </c>
      <c r="C982" s="16" t="s">
        <v>1272</v>
      </c>
      <c r="D982" s="16" t="s">
        <v>912</v>
      </c>
      <c r="E982" s="16" t="s">
        <v>85</v>
      </c>
      <c r="F982" s="16" t="s">
        <v>19</v>
      </c>
      <c r="G982" s="7" t="n">
        <v>1</v>
      </c>
      <c r="H982" s="6" t="n">
        <v>87.88</v>
      </c>
      <c r="I982" s="6" t="n">
        <v>-878.8</v>
      </c>
      <c r="J982" s="6" t="n">
        <v>-41.42</v>
      </c>
      <c r="K982" s="6" t="n">
        <v>-2.64</v>
      </c>
      <c r="L982" s="6" t="n">
        <v>0</v>
      </c>
      <c r="M982" s="6" t="s">
        <f>=I982+J982+K982+L982</f>
      </c>
      <c r="N982" s="6"/>
      <c r="O982" s="16"/>
    </row>
    <row collapsed="false" customFormat="false" customHeight="false" hidden="false" ht="12.1" outlineLevel="0" r="983">
      <c r="A983" s="20" t="n">
        <v>45813.466435185</v>
      </c>
      <c r="B983" s="16" t="s">
        <v>178</v>
      </c>
      <c r="C983" s="16" t="s">
        <v>1325</v>
      </c>
      <c r="D983" s="16" t="s">
        <v>912</v>
      </c>
      <c r="E983" s="16" t="s">
        <v>85</v>
      </c>
      <c r="F983" s="16" t="s">
        <v>19</v>
      </c>
      <c r="G983" s="7" t="n">
        <v>1</v>
      </c>
      <c r="H983" s="6" t="n">
        <v>105.98</v>
      </c>
      <c r="I983" s="6" t="n">
        <v>-1059.8</v>
      </c>
      <c r="J983" s="6" t="n">
        <v>-23.7</v>
      </c>
      <c r="K983" s="6" t="n">
        <v>-3.18</v>
      </c>
      <c r="L983" s="6" t="n">
        <v>0</v>
      </c>
      <c r="M983" s="6" t="s">
        <f>=I983+J983+K983+L983</f>
      </c>
      <c r="N983" s="6"/>
      <c r="O983" s="16"/>
    </row>
    <row collapsed="false" customFormat="false" customHeight="false" hidden="false" ht="12.1" outlineLevel="0" r="984">
      <c r="A984" s="20" t="n">
        <v>45813.46712963</v>
      </c>
      <c r="B984" s="16" t="s">
        <v>211</v>
      </c>
      <c r="C984" s="16" t="s">
        <v>1147</v>
      </c>
      <c r="D984" s="16" t="s">
        <v>912</v>
      </c>
      <c r="E984" s="16" t="s">
        <v>85</v>
      </c>
      <c r="F984" s="16" t="s">
        <v>19</v>
      </c>
      <c r="G984" s="7" t="n">
        <v>1</v>
      </c>
      <c r="H984" s="6" t="n">
        <v>88.24</v>
      </c>
      <c r="I984" s="6" t="n">
        <v>-882.4</v>
      </c>
      <c r="J984" s="6" t="n">
        <v>-0.92000000000007</v>
      </c>
      <c r="K984" s="6" t="n">
        <v>-2.65</v>
      </c>
      <c r="L984" s="6" t="n">
        <v>0</v>
      </c>
      <c r="M984" s="6" t="s">
        <f>=I984+J984+K984+L984</f>
      </c>
      <c r="N984" s="6"/>
      <c r="O984" s="16"/>
    </row>
    <row collapsed="false" customFormat="false" customHeight="false" hidden="false" ht="12.1" outlineLevel="0" r="985">
      <c r="A985" s="20" t="n">
        <v>45813.467569444</v>
      </c>
      <c r="B985" s="16" t="s">
        <v>175</v>
      </c>
      <c r="C985" s="16" t="s">
        <v>1276</v>
      </c>
      <c r="D985" s="16" t="s">
        <v>912</v>
      </c>
      <c r="E985" s="16" t="s">
        <v>85</v>
      </c>
      <c r="F985" s="16" t="s">
        <v>19</v>
      </c>
      <c r="G985" s="7" t="n">
        <v>1</v>
      </c>
      <c r="H985" s="6" t="n">
        <v>84.81</v>
      </c>
      <c r="I985" s="6" t="n">
        <v>-848.1</v>
      </c>
      <c r="J985" s="6" t="n">
        <v>-25.89</v>
      </c>
      <c r="K985" s="6" t="n">
        <v>-2.54</v>
      </c>
      <c r="L985" s="6" t="n">
        <v>0</v>
      </c>
      <c r="M985" s="6" t="s">
        <f>=I985+J985+K985+L985</f>
      </c>
      <c r="N985" s="6"/>
      <c r="O985" s="16"/>
    </row>
    <row collapsed="false" customFormat="false" customHeight="false" hidden="false" ht="12.1" outlineLevel="0" r="986">
      <c r="A986" s="20" t="n">
        <v>45813.467893519</v>
      </c>
      <c r="B986" s="16" t="s">
        <v>178</v>
      </c>
      <c r="C986" s="16" t="s">
        <v>1325</v>
      </c>
      <c r="D986" s="16" t="s">
        <v>912</v>
      </c>
      <c r="E986" s="16" t="s">
        <v>85</v>
      </c>
      <c r="F986" s="16" t="s">
        <v>19</v>
      </c>
      <c r="G986" s="7" t="n">
        <v>1</v>
      </c>
      <c r="H986" s="6" t="n">
        <v>106</v>
      </c>
      <c r="I986" s="6" t="n">
        <v>-1060</v>
      </c>
      <c r="J986" s="6" t="n">
        <v>-23.7</v>
      </c>
      <c r="K986" s="6" t="n">
        <v>-3.18</v>
      </c>
      <c r="L986" s="6" t="n">
        <v>0</v>
      </c>
      <c r="M986" s="6" t="s">
        <f>=I986+J986+K986+L986</f>
      </c>
      <c r="N986" s="6"/>
      <c r="O986" s="16"/>
    </row>
    <row collapsed="false" customFormat="false" customHeight="false" hidden="false" ht="12.1" outlineLevel="0" r="987">
      <c r="A987" s="20" t="n">
        <v>45813.468252315</v>
      </c>
      <c r="B987" s="16" t="s">
        <v>232</v>
      </c>
      <c r="C987" s="16" t="s">
        <v>1326</v>
      </c>
      <c r="D987" s="16" t="s">
        <v>912</v>
      </c>
      <c r="E987" s="16" t="s">
        <v>85</v>
      </c>
      <c r="F987" s="16" t="s">
        <v>19</v>
      </c>
      <c r="G987" s="7" t="n">
        <v>2</v>
      </c>
      <c r="H987" s="6" t="n">
        <v>54.7</v>
      </c>
      <c r="I987" s="6" t="n">
        <v>-1094</v>
      </c>
      <c r="J987" s="6" t="n">
        <v>0</v>
      </c>
      <c r="K987" s="6" t="n">
        <v>-3.28</v>
      </c>
      <c r="L987" s="6" t="n">
        <v>0</v>
      </c>
      <c r="M987" s="6" t="s">
        <f>=I987+J987+K987+L987</f>
      </c>
      <c r="N987" s="6"/>
      <c r="O987" s="16"/>
    </row>
    <row collapsed="false" customFormat="false" customHeight="false" hidden="false" ht="12.1" outlineLevel="0" r="988">
      <c r="A988" s="20" t="n">
        <v>45813.468599537</v>
      </c>
      <c r="B988" s="16" t="s">
        <v>160</v>
      </c>
      <c r="C988" s="16" t="s">
        <v>1244</v>
      </c>
      <c r="D988" s="16" t="s">
        <v>912</v>
      </c>
      <c r="E988" s="16" t="s">
        <v>85</v>
      </c>
      <c r="F988" s="16" t="s">
        <v>19</v>
      </c>
      <c r="G988" s="7" t="n">
        <v>1</v>
      </c>
      <c r="H988" s="6" t="n">
        <v>89.99</v>
      </c>
      <c r="I988" s="6" t="n">
        <v>-899.9</v>
      </c>
      <c r="J988" s="6" t="n">
        <v>-31.91</v>
      </c>
      <c r="K988" s="6" t="n">
        <v>-2.7</v>
      </c>
      <c r="L988" s="6" t="n">
        <v>0</v>
      </c>
      <c r="M988" s="6" t="s">
        <f>=I988+J988+K988+L988</f>
      </c>
      <c r="N988" s="6"/>
      <c r="O988" s="16"/>
    </row>
    <row collapsed="false" customFormat="false" customHeight="false" hidden="false" ht="12.1" outlineLevel="0" r="989">
      <c r="A989" s="21" t="n">
        <v>45813.475532407</v>
      </c>
      <c r="B989" s="22" t="s">
        <v>1063</v>
      </c>
      <c r="C989" s="22" t="s">
        <v>1149</v>
      </c>
      <c r="D989" s="22" t="s">
        <v>1063</v>
      </c>
      <c r="E989" s="22" t="s">
        <v>1063</v>
      </c>
      <c r="F989" s="22" t="s">
        <v>19</v>
      </c>
      <c r="G989" s="23" t="n">
        <v>1</v>
      </c>
      <c r="H989" s="24" t="n">
        <v>1</v>
      </c>
      <c r="I989" s="24" t="n">
        <v>65.32</v>
      </c>
      <c r="J989" s="24" t="n">
        <v>0</v>
      </c>
      <c r="K989" s="24" t="n">
        <v>0</v>
      </c>
      <c r="L989" s="24" t="n">
        <v>0</v>
      </c>
      <c r="M989" s="6" t="s">
        <f>=I989+J989+K989+L989</f>
      </c>
      <c r="N989" s="24"/>
      <c r="O989" s="22"/>
    </row>
    <row collapsed="false" customFormat="false" customHeight="false" hidden="false" ht="12.1" outlineLevel="0" r="990">
      <c r="A990" s="21" t="n">
        <v>45813.479236111</v>
      </c>
      <c r="B990" s="22" t="s">
        <v>1063</v>
      </c>
      <c r="C990" s="22" t="s">
        <v>1266</v>
      </c>
      <c r="D990" s="22" t="s">
        <v>1063</v>
      </c>
      <c r="E990" s="22" t="s">
        <v>1063</v>
      </c>
      <c r="F990" s="22" t="s">
        <v>19</v>
      </c>
      <c r="G990" s="23" t="n">
        <v>1</v>
      </c>
      <c r="H990" s="24" t="n">
        <v>1</v>
      </c>
      <c r="I990" s="24" t="n">
        <v>19.55</v>
      </c>
      <c r="J990" s="24" t="n">
        <v>0</v>
      </c>
      <c r="K990" s="24" t="n">
        <v>0</v>
      </c>
      <c r="L990" s="24" t="n">
        <v>0</v>
      </c>
      <c r="M990" s="6" t="s">
        <f>=I990+J990+K990+L990</f>
      </c>
      <c r="N990" s="24"/>
      <c r="O990" s="22"/>
    </row>
    <row collapsed="false" customFormat="false" customHeight="false" hidden="false" ht="12.1" outlineLevel="0" r="991">
      <c r="A991" s="21" t="n">
        <v>45813.479756944</v>
      </c>
      <c r="B991" s="22" t="s">
        <v>1063</v>
      </c>
      <c r="C991" s="22" t="s">
        <v>1106</v>
      </c>
      <c r="D991" s="22" t="s">
        <v>1063</v>
      </c>
      <c r="E991" s="22" t="s">
        <v>1063</v>
      </c>
      <c r="F991" s="22" t="s">
        <v>19</v>
      </c>
      <c r="G991" s="23" t="n">
        <v>1</v>
      </c>
      <c r="H991" s="24" t="n">
        <v>1</v>
      </c>
      <c r="I991" s="24" t="n">
        <v>19.87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4"/>
      <c r="O991" s="22"/>
    </row>
    <row collapsed="false" customFormat="false" customHeight="false" hidden="false" ht="12.1" outlineLevel="0" r="992">
      <c r="A992" s="21" t="n">
        <v>45813.502303241</v>
      </c>
      <c r="B992" s="22" t="s">
        <v>1063</v>
      </c>
      <c r="C992" s="22" t="s">
        <v>1265</v>
      </c>
      <c r="D992" s="22" t="s">
        <v>1063</v>
      </c>
      <c r="E992" s="22" t="s">
        <v>1063</v>
      </c>
      <c r="F992" s="22" t="s">
        <v>19</v>
      </c>
      <c r="G992" s="23" t="n">
        <v>1</v>
      </c>
      <c r="H992" s="24" t="n">
        <v>1</v>
      </c>
      <c r="I992" s="24" t="n">
        <v>56.84</v>
      </c>
      <c r="J992" s="24" t="n">
        <v>0</v>
      </c>
      <c r="K992" s="24" t="n">
        <v>0</v>
      </c>
      <c r="L992" s="24" t="n">
        <v>0</v>
      </c>
      <c r="M992" s="6" t="s">
        <f>=I992+J992+K992+L992</f>
      </c>
      <c r="N992" s="24"/>
      <c r="O992" s="22"/>
    </row>
    <row collapsed="false" customFormat="false" customHeight="false" hidden="false" ht="12.1" outlineLevel="0" r="993">
      <c r="A993" s="21" t="n">
        <v>45814.446412037</v>
      </c>
      <c r="B993" s="22" t="s">
        <v>1063</v>
      </c>
      <c r="C993" s="22" t="s">
        <v>1206</v>
      </c>
      <c r="D993" s="22" t="s">
        <v>1063</v>
      </c>
      <c r="E993" s="22" t="s">
        <v>1063</v>
      </c>
      <c r="F993" s="22" t="s">
        <v>19</v>
      </c>
      <c r="G993" s="23" t="n">
        <v>1</v>
      </c>
      <c r="H993" s="24" t="n">
        <v>1</v>
      </c>
      <c r="I993" s="24" t="n">
        <v>6.49</v>
      </c>
      <c r="J993" s="24" t="n">
        <v>0</v>
      </c>
      <c r="K993" s="24" t="n">
        <v>0</v>
      </c>
      <c r="L993" s="24" t="n">
        <v>0</v>
      </c>
      <c r="M993" s="6" t="s">
        <f>=I993+J993+K993+L993</f>
      </c>
      <c r="N993" s="24"/>
      <c r="O993" s="22"/>
    </row>
    <row collapsed="false" customFormat="false" customHeight="false" hidden="false" ht="12.1" outlineLevel="0" r="994">
      <c r="A994" s="21" t="n">
        <v>45814.448148148</v>
      </c>
      <c r="B994" s="22" t="s">
        <v>1073</v>
      </c>
      <c r="C994" s="22" t="s">
        <v>1327</v>
      </c>
      <c r="D994" s="22" t="s">
        <v>1073</v>
      </c>
      <c r="E994" s="22" t="s">
        <v>1073</v>
      </c>
      <c r="F994" s="22" t="s">
        <v>19</v>
      </c>
      <c r="G994" s="23" t="n">
        <v>1</v>
      </c>
      <c r="H994" s="24" t="n">
        <v>1</v>
      </c>
      <c r="I994" s="24" t="n">
        <v>263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4"/>
      <c r="O994" s="22"/>
    </row>
    <row collapsed="false" customFormat="false" customHeight="false" hidden="false" ht="12.1" outlineLevel="0" r="995">
      <c r="A995" s="21" t="n">
        <v>45814.472962963</v>
      </c>
      <c r="B995" s="22" t="s">
        <v>1063</v>
      </c>
      <c r="C995" s="22" t="s">
        <v>1267</v>
      </c>
      <c r="D995" s="22" t="s">
        <v>1063</v>
      </c>
      <c r="E995" s="22" t="s">
        <v>1063</v>
      </c>
      <c r="F995" s="22" t="s">
        <v>19</v>
      </c>
      <c r="G995" s="23" t="n">
        <v>1</v>
      </c>
      <c r="H995" s="24" t="n">
        <v>1</v>
      </c>
      <c r="I995" s="24" t="n">
        <v>35.53</v>
      </c>
      <c r="J995" s="24" t="n">
        <v>0</v>
      </c>
      <c r="K995" s="24" t="n">
        <v>0</v>
      </c>
      <c r="L995" s="24" t="n">
        <v>0</v>
      </c>
      <c r="M995" s="6" t="s">
        <f>=I995+J995+K995+L995</f>
      </c>
      <c r="N995" s="24"/>
      <c r="O995" s="22"/>
    </row>
    <row collapsed="false" customFormat="false" customHeight="false" hidden="false" ht="12.1" outlineLevel="0" r="996">
      <c r="A996" s="21" t="n">
        <v>45818.568506944</v>
      </c>
      <c r="B996" s="22" t="s">
        <v>1063</v>
      </c>
      <c r="C996" s="22" t="s">
        <v>1318</v>
      </c>
      <c r="D996" s="22" t="s">
        <v>1063</v>
      </c>
      <c r="E996" s="22" t="s">
        <v>1063</v>
      </c>
      <c r="F996" s="22" t="s">
        <v>19</v>
      </c>
      <c r="G996" s="23" t="n">
        <v>1</v>
      </c>
      <c r="H996" s="24" t="n">
        <v>1</v>
      </c>
      <c r="I996" s="24" t="n">
        <v>19.11</v>
      </c>
      <c r="J996" s="24" t="n">
        <v>0</v>
      </c>
      <c r="K996" s="24" t="n">
        <v>0</v>
      </c>
      <c r="L996" s="24" t="n">
        <v>0</v>
      </c>
      <c r="M996" s="6" t="s">
        <f>=I996+J996+K996+L996</f>
      </c>
      <c r="N996" s="24"/>
      <c r="O996" s="22"/>
    </row>
    <row collapsed="false" customFormat="false" customHeight="false" hidden="false" ht="12.1" outlineLevel="0" r="997">
      <c r="A997" s="21" t="n">
        <v>45818.571087963</v>
      </c>
      <c r="B997" s="22" t="s">
        <v>1063</v>
      </c>
      <c r="C997" s="22" t="s">
        <v>1314</v>
      </c>
      <c r="D997" s="22" t="s">
        <v>1063</v>
      </c>
      <c r="E997" s="22" t="s">
        <v>1063</v>
      </c>
      <c r="F997" s="22" t="s">
        <v>19</v>
      </c>
      <c r="G997" s="23" t="n">
        <v>1</v>
      </c>
      <c r="H997" s="24" t="n">
        <v>1</v>
      </c>
      <c r="I997" s="24" t="n">
        <v>19.04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4"/>
      <c r="O997" s="22"/>
    </row>
    <row collapsed="false" customFormat="false" customHeight="false" hidden="false" ht="12.1" outlineLevel="0" r="998">
      <c r="A998" s="21" t="n">
        <v>45819.42681713</v>
      </c>
      <c r="B998" s="22" t="s">
        <v>1063</v>
      </c>
      <c r="C998" s="22" t="s">
        <v>1151</v>
      </c>
      <c r="D998" s="22" t="s">
        <v>1063</v>
      </c>
      <c r="E998" s="22" t="s">
        <v>1063</v>
      </c>
      <c r="F998" s="22" t="s">
        <v>19</v>
      </c>
      <c r="G998" s="23" t="n">
        <v>1</v>
      </c>
      <c r="H998" s="24" t="n">
        <v>1</v>
      </c>
      <c r="I998" s="24" t="n">
        <v>28.95</v>
      </c>
      <c r="J998" s="24" t="n">
        <v>0</v>
      </c>
      <c r="K998" s="24" t="n">
        <v>0</v>
      </c>
      <c r="L998" s="24" t="n">
        <v>0</v>
      </c>
      <c r="M998" s="6" t="s">
        <f>=I998+J998+K998+L998</f>
      </c>
      <c r="N998" s="24"/>
      <c r="O998" s="22"/>
    </row>
    <row collapsed="false" customFormat="false" customHeight="false" hidden="false" ht="12.1" outlineLevel="0" r="999">
      <c r="A999" s="21" t="n">
        <v>45825.499583333</v>
      </c>
      <c r="B999" s="22" t="s">
        <v>1063</v>
      </c>
      <c r="C999" s="22" t="s">
        <v>1303</v>
      </c>
      <c r="D999" s="22" t="s">
        <v>1063</v>
      </c>
      <c r="E999" s="22" t="s">
        <v>1063</v>
      </c>
      <c r="F999" s="22" t="s">
        <v>19</v>
      </c>
      <c r="G999" s="23" t="n">
        <v>1</v>
      </c>
      <c r="H999" s="24" t="n">
        <v>1</v>
      </c>
      <c r="I999" s="24" t="n">
        <v>18.75</v>
      </c>
      <c r="J999" s="24" t="n">
        <v>0</v>
      </c>
      <c r="K999" s="24" t="n">
        <v>0</v>
      </c>
      <c r="L999" s="24" t="n">
        <v>0</v>
      </c>
      <c r="M999" s="6" t="s">
        <f>=I999+J999+K999+L999</f>
      </c>
      <c r="N999" s="24"/>
      <c r="O999" s="22"/>
    </row>
    <row collapsed="false" customFormat="false" customHeight="false" hidden="false" ht="12.1" outlineLevel="0" r="1000">
      <c r="A1000" s="21" t="n">
        <v>45825.51462963</v>
      </c>
      <c r="B1000" s="22" t="s">
        <v>1063</v>
      </c>
      <c r="C1000" s="22" t="s">
        <v>1294</v>
      </c>
      <c r="D1000" s="22" t="s">
        <v>1063</v>
      </c>
      <c r="E1000" s="22" t="s">
        <v>1063</v>
      </c>
      <c r="F1000" s="22" t="s">
        <v>19</v>
      </c>
      <c r="G1000" s="23" t="n">
        <v>1</v>
      </c>
      <c r="H1000" s="24" t="n">
        <v>1</v>
      </c>
      <c r="I1000" s="24" t="n">
        <v>35.66</v>
      </c>
      <c r="J1000" s="24" t="n">
        <v>0</v>
      </c>
      <c r="K1000" s="24" t="n">
        <v>0</v>
      </c>
      <c r="L1000" s="24" t="n">
        <v>0</v>
      </c>
      <c r="M1000" s="6" t="s">
        <f>=I1000+J1000+K1000+L1000</f>
      </c>
      <c r="N1000" s="24"/>
      <c r="O1000" s="22"/>
    </row>
    <row collapsed="false" customFormat="false" customHeight="false" hidden="false" ht="12.1" outlineLevel="0" r="1001">
      <c r="A1001" s="21" t="n">
        <v>45827.497685185</v>
      </c>
      <c r="B1001" s="22" t="s">
        <v>1063</v>
      </c>
      <c r="C1001" s="22" t="s">
        <v>1113</v>
      </c>
      <c r="D1001" s="22" t="s">
        <v>1063</v>
      </c>
      <c r="E1001" s="22" t="s">
        <v>1063</v>
      </c>
      <c r="F1001" s="22" t="s">
        <v>19</v>
      </c>
      <c r="G1001" s="23" t="n">
        <v>1</v>
      </c>
      <c r="H1001" s="24" t="n">
        <v>1</v>
      </c>
      <c r="I1001" s="24" t="n">
        <v>1390.62</v>
      </c>
      <c r="J1001" s="24" t="n">
        <v>0</v>
      </c>
      <c r="K1001" s="24" t="n">
        <v>0</v>
      </c>
      <c r="L1001" s="24" t="n">
        <v>0</v>
      </c>
      <c r="M1001" s="6" t="s">
        <f>=I1001+J1001+K1001+L1001</f>
      </c>
      <c r="N1001" s="24"/>
      <c r="O1001" s="22"/>
    </row>
    <row collapsed="false" customFormat="false" customHeight="false" hidden="false" ht="12.1" outlineLevel="0" r="1002">
      <c r="A1002" s="25" t="n">
        <v>45827.62568287</v>
      </c>
      <c r="B1002" s="26" t="s">
        <v>1089</v>
      </c>
      <c r="C1002" s="26" t="s">
        <v>1281</v>
      </c>
      <c r="D1002" s="26" t="s">
        <v>1089</v>
      </c>
      <c r="E1002" s="26" t="s">
        <v>1089</v>
      </c>
      <c r="F1002" s="26" t="s">
        <v>19</v>
      </c>
      <c r="G1002" s="27" t="n">
        <v>1</v>
      </c>
      <c r="H1002" s="28" t="n">
        <v>-56</v>
      </c>
      <c r="I1002" s="28" t="n">
        <v>-56</v>
      </c>
      <c r="J1002" s="28" t="n">
        <v>0</v>
      </c>
      <c r="K1002" s="28" t="n">
        <v>0</v>
      </c>
      <c r="L1002" s="28" t="n">
        <v>0</v>
      </c>
      <c r="M1002" s="6" t="s">
        <f>=I1002+J1002+K1002+L1002</f>
      </c>
      <c r="N1002" s="28"/>
      <c r="O1002" s="26"/>
    </row>
    <row collapsed="false" customFormat="false" customHeight="false" hidden="false" ht="12.1" outlineLevel="0" r="1003">
      <c r="A1003" s="21" t="n">
        <v>45827.62568287</v>
      </c>
      <c r="B1003" s="22" t="s">
        <v>1063</v>
      </c>
      <c r="C1003" s="22" t="s">
        <v>1280</v>
      </c>
      <c r="D1003" s="22" t="s">
        <v>1063</v>
      </c>
      <c r="E1003" s="22" t="s">
        <v>1063</v>
      </c>
      <c r="F1003" s="22" t="s">
        <v>19</v>
      </c>
      <c r="G1003" s="23" t="n">
        <v>1</v>
      </c>
      <c r="H1003" s="24" t="n">
        <v>1</v>
      </c>
      <c r="I1003" s="24" t="n">
        <v>431.1</v>
      </c>
      <c r="J1003" s="24" t="n">
        <v>0</v>
      </c>
      <c r="K1003" s="24" t="n">
        <v>0</v>
      </c>
      <c r="L1003" s="24" t="n">
        <v>0</v>
      </c>
      <c r="M1003" s="6" t="s">
        <f>=I1003+J1003+K1003+L1003</f>
      </c>
      <c r="N1003" s="24"/>
      <c r="O1003" s="22"/>
    </row>
    <row collapsed="false" customFormat="false" customHeight="false" hidden="false" ht="12.1" outlineLevel="0" r="1004">
      <c r="A1004" s="21" t="n">
        <v>45832.464467593</v>
      </c>
      <c r="B1004" s="22" t="s">
        <v>1063</v>
      </c>
      <c r="C1004" s="22" t="s">
        <v>1322</v>
      </c>
      <c r="D1004" s="22" t="s">
        <v>1063</v>
      </c>
      <c r="E1004" s="22" t="s">
        <v>1063</v>
      </c>
      <c r="F1004" s="22" t="s">
        <v>19</v>
      </c>
      <c r="G1004" s="23" t="n">
        <v>1</v>
      </c>
      <c r="H1004" s="24" t="n">
        <v>1</v>
      </c>
      <c r="I1004" s="24" t="n">
        <v>20.96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4"/>
      <c r="O1004" s="22"/>
    </row>
    <row collapsed="false" customFormat="false" customHeight="false" hidden="false" ht="12.1" outlineLevel="0" r="1005">
      <c r="A1005" s="21" t="n">
        <v>45832.466655093</v>
      </c>
      <c r="B1005" s="22" t="s">
        <v>1063</v>
      </c>
      <c r="C1005" s="22" t="s">
        <v>1251</v>
      </c>
      <c r="D1005" s="22" t="s">
        <v>1063</v>
      </c>
      <c r="E1005" s="22" t="s">
        <v>1063</v>
      </c>
      <c r="F1005" s="22" t="s">
        <v>19</v>
      </c>
      <c r="G1005" s="23" t="n">
        <v>1</v>
      </c>
      <c r="H1005" s="24" t="n">
        <v>1</v>
      </c>
      <c r="I1005" s="24" t="n">
        <v>11.18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4"/>
      <c r="O1005" s="22"/>
    </row>
    <row collapsed="false" customFormat="false" customHeight="false" hidden="false" ht="12.1" outlineLevel="0" r="1006">
      <c r="A1006" s="21" t="n">
        <v>45833.483576389</v>
      </c>
      <c r="B1006" s="22" t="s">
        <v>1063</v>
      </c>
      <c r="C1006" s="22" t="s">
        <v>1235</v>
      </c>
      <c r="D1006" s="22" t="s">
        <v>1063</v>
      </c>
      <c r="E1006" s="22" t="s">
        <v>1063</v>
      </c>
      <c r="F1006" s="22" t="s">
        <v>19</v>
      </c>
      <c r="G1006" s="23" t="n">
        <v>1</v>
      </c>
      <c r="H1006" s="24" t="n">
        <v>1</v>
      </c>
      <c r="I1006" s="24" t="n">
        <v>36.32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4"/>
      <c r="O1006" s="22"/>
    </row>
    <row collapsed="false" customFormat="false" customHeight="false" hidden="false" ht="12.1" outlineLevel="0" r="1007">
      <c r="A1007" s="21" t="n">
        <v>45834.504270833</v>
      </c>
      <c r="B1007" s="22" t="s">
        <v>1063</v>
      </c>
      <c r="C1007" s="22" t="s">
        <v>1152</v>
      </c>
      <c r="D1007" s="22" t="s">
        <v>1063</v>
      </c>
      <c r="E1007" s="22" t="s">
        <v>1063</v>
      </c>
      <c r="F1007" s="22" t="s">
        <v>19</v>
      </c>
      <c r="G1007" s="23" t="n">
        <v>1</v>
      </c>
      <c r="H1007" s="24" t="n">
        <v>1</v>
      </c>
      <c r="I1007" s="24" t="n">
        <v>495.26</v>
      </c>
      <c r="J1007" s="24" t="n">
        <v>0</v>
      </c>
      <c r="K1007" s="24" t="n">
        <v>0</v>
      </c>
      <c r="L1007" s="24" t="n">
        <v>0</v>
      </c>
      <c r="M1007" s="6" t="s">
        <f>=I1007+J1007+K1007+L1007</f>
      </c>
      <c r="N1007" s="24"/>
      <c r="O1007" s="22"/>
    </row>
    <row collapsed="false" customFormat="false" customHeight="false" hidden="false" ht="12.1" outlineLevel="0" r="1008">
      <c r="A1008" s="25" t="n">
        <v>45834.504270833</v>
      </c>
      <c r="B1008" s="26" t="s">
        <v>1089</v>
      </c>
      <c r="C1008" s="26" t="s">
        <v>1153</v>
      </c>
      <c r="D1008" s="26" t="s">
        <v>1089</v>
      </c>
      <c r="E1008" s="26" t="s">
        <v>1089</v>
      </c>
      <c r="F1008" s="26" t="s">
        <v>19</v>
      </c>
      <c r="G1008" s="27" t="n">
        <v>1</v>
      </c>
      <c r="H1008" s="28" t="n">
        <v>-64</v>
      </c>
      <c r="I1008" s="28" t="n">
        <v>-64</v>
      </c>
      <c r="J1008" s="28" t="n">
        <v>0</v>
      </c>
      <c r="K1008" s="28" t="n">
        <v>0</v>
      </c>
      <c r="L1008" s="28" t="n">
        <v>0</v>
      </c>
      <c r="M1008" s="6" t="s">
        <f>=I1008+J1008+K1008+L1008</f>
      </c>
      <c r="N1008" s="28"/>
      <c r="O1008" s="26"/>
    </row>
    <row collapsed="false" customFormat="false" customHeight="false" hidden="false" ht="12.1" outlineLevel="0" r="1009">
      <c r="A1009" s="21" t="n">
        <v>45838.448738426</v>
      </c>
      <c r="B1009" s="22" t="s">
        <v>1063</v>
      </c>
      <c r="C1009" s="22" t="s">
        <v>1191</v>
      </c>
      <c r="D1009" s="22" t="s">
        <v>1063</v>
      </c>
      <c r="E1009" s="22" t="s">
        <v>1063</v>
      </c>
      <c r="F1009" s="22" t="s">
        <v>19</v>
      </c>
      <c r="G1009" s="23" t="n">
        <v>1</v>
      </c>
      <c r="H1009" s="24" t="n">
        <v>1</v>
      </c>
      <c r="I1009" s="24" t="n">
        <v>46.08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4"/>
      <c r="O1009" s="22"/>
    </row>
    <row collapsed="false" customFormat="false" customHeight="false" hidden="false" ht="12.1" outlineLevel="0" r="1010">
      <c r="A1010" s="21" t="n">
        <v>45838.450046296</v>
      </c>
      <c r="B1010" s="22" t="s">
        <v>1073</v>
      </c>
      <c r="C1010" s="22" t="s">
        <v>1227</v>
      </c>
      <c r="D1010" s="22" t="s">
        <v>1073</v>
      </c>
      <c r="E1010" s="22" t="s">
        <v>1073</v>
      </c>
      <c r="F1010" s="22" t="s">
        <v>19</v>
      </c>
      <c r="G1010" s="23" t="n">
        <v>1</v>
      </c>
      <c r="H1010" s="24" t="n">
        <v>1</v>
      </c>
      <c r="I1010" s="24" t="n">
        <v>400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4"/>
      <c r="O1010" s="22"/>
    </row>
    <row collapsed="false" customFormat="false" customHeight="false" hidden="false" ht="12.1" outlineLevel="0" r="1011">
      <c r="A1011" s="21" t="n">
        <v>45839.420104167</v>
      </c>
      <c r="B1011" s="22" t="s">
        <v>1063</v>
      </c>
      <c r="C1011" s="22" t="s">
        <v>1323</v>
      </c>
      <c r="D1011" s="22" t="s">
        <v>1063</v>
      </c>
      <c r="E1011" s="22" t="s">
        <v>1063</v>
      </c>
      <c r="F1011" s="22" t="s">
        <v>19</v>
      </c>
      <c r="G1011" s="23" t="n">
        <v>1</v>
      </c>
      <c r="H1011" s="24" t="n">
        <v>1</v>
      </c>
      <c r="I1011" s="24" t="n">
        <v>19.48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4"/>
      <c r="O1011" s="22"/>
    </row>
    <row collapsed="false" customFormat="false" customHeight="false" hidden="false" ht="12.1" outlineLevel="0" r="1012">
      <c r="A1012" s="21" t="n">
        <v>45839.524652778</v>
      </c>
      <c r="B1012" s="22" t="s">
        <v>1063</v>
      </c>
      <c r="C1012" s="22" t="s">
        <v>1207</v>
      </c>
      <c r="D1012" s="22" t="s">
        <v>1063</v>
      </c>
      <c r="E1012" s="22" t="s">
        <v>1063</v>
      </c>
      <c r="F1012" s="22" t="s">
        <v>19</v>
      </c>
      <c r="G1012" s="23" t="n">
        <v>1</v>
      </c>
      <c r="H1012" s="24" t="n">
        <v>1</v>
      </c>
      <c r="I1012" s="24" t="n">
        <v>18.73</v>
      </c>
      <c r="J1012" s="24" t="n">
        <v>0</v>
      </c>
      <c r="K1012" s="24" t="n">
        <v>0</v>
      </c>
      <c r="L1012" s="24" t="n">
        <v>0</v>
      </c>
      <c r="M1012" s="6" t="s">
        <f>=I1012+J1012+K1012+L1012</f>
      </c>
      <c r="N1012" s="24"/>
      <c r="O1012" s="22"/>
    </row>
    <row collapsed="false" customFormat="false" customHeight="false" hidden="false" ht="12.1" outlineLevel="0" r="1013">
      <c r="A1013" s="21" t="n">
        <v>45840.641631944</v>
      </c>
      <c r="B1013" s="22" t="s">
        <v>1056</v>
      </c>
      <c r="C1013" s="22" t="s">
        <v>350</v>
      </c>
      <c r="D1013" s="22" t="s">
        <v>1056</v>
      </c>
      <c r="E1013" s="22" t="s">
        <v>1056</v>
      </c>
      <c r="F1013" s="22" t="s">
        <v>19</v>
      </c>
      <c r="G1013" s="23" t="n">
        <v>1</v>
      </c>
      <c r="H1013" s="24" t="n">
        <v>1</v>
      </c>
      <c r="I1013" s="24" t="n">
        <v>11820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4"/>
      <c r="O1013" s="22"/>
    </row>
    <row collapsed="false" customFormat="false" customHeight="false" hidden="false" ht="12.1" outlineLevel="0" r="1014">
      <c r="A1014" s="20" t="n">
        <v>45840.652777778</v>
      </c>
      <c r="B1014" s="16" t="s">
        <v>1082</v>
      </c>
      <c r="C1014" s="16" t="s">
        <v>1083</v>
      </c>
      <c r="D1014" s="16" t="s">
        <v>912</v>
      </c>
      <c r="E1014" s="16" t="s">
        <v>1084</v>
      </c>
      <c r="F1014" s="16" t="s">
        <v>19</v>
      </c>
      <c r="G1014" s="7" t="n">
        <v>1</v>
      </c>
      <c r="H1014" s="6" t="n">
        <v>8358.4</v>
      </c>
      <c r="I1014" s="6" t="n">
        <v>-8358.4</v>
      </c>
      <c r="J1014" s="6" t="n">
        <v>0</v>
      </c>
      <c r="K1014" s="6" t="n">
        <v>-158.81</v>
      </c>
      <c r="L1014" s="6" t="n">
        <v>0</v>
      </c>
      <c r="M1014" s="6" t="s">
        <f>=I1014+J1014+K1014+L1014</f>
      </c>
      <c r="N1014" s="6"/>
      <c r="O1014" s="16"/>
    </row>
    <row collapsed="false" customFormat="false" customHeight="false" hidden="false" ht="12.1" outlineLevel="0" r="1015">
      <c r="A1015" s="20" t="n">
        <v>45840.661377315</v>
      </c>
      <c r="B1015" s="16" t="s">
        <v>16</v>
      </c>
      <c r="C1015" s="16" t="s">
        <v>1112</v>
      </c>
      <c r="D1015" s="16" t="s">
        <v>912</v>
      </c>
      <c r="E1015" s="16" t="s">
        <v>17</v>
      </c>
      <c r="F1015" s="16" t="s">
        <v>19</v>
      </c>
      <c r="G1015" s="7" t="n">
        <v>20</v>
      </c>
      <c r="H1015" s="6" t="n">
        <v>319.39</v>
      </c>
      <c r="I1015" s="6" t="n">
        <v>-6387.8</v>
      </c>
      <c r="J1015" s="6" t="n">
        <v>0</v>
      </c>
      <c r="K1015" s="6" t="n">
        <v>-19.16</v>
      </c>
      <c r="L1015" s="6" t="n">
        <v>0</v>
      </c>
      <c r="M1015" s="6" t="s">
        <f>=I1015+J1015+K1015+L1015</f>
      </c>
      <c r="N1015" s="6"/>
      <c r="O1015" s="16"/>
    </row>
    <row collapsed="false" customFormat="false" customHeight="false" hidden="false" ht="12.1" outlineLevel="0" r="1016">
      <c r="A1016" s="21" t="n">
        <v>45841.460729167</v>
      </c>
      <c r="B1016" s="22" t="s">
        <v>1063</v>
      </c>
      <c r="C1016" s="22" t="s">
        <v>1174</v>
      </c>
      <c r="D1016" s="22" t="s">
        <v>1063</v>
      </c>
      <c r="E1016" s="22" t="s">
        <v>1063</v>
      </c>
      <c r="F1016" s="22" t="s">
        <v>19</v>
      </c>
      <c r="G1016" s="23" t="n">
        <v>1</v>
      </c>
      <c r="H1016" s="24" t="n">
        <v>1</v>
      </c>
      <c r="I1016" s="24" t="n">
        <v>37.82</v>
      </c>
      <c r="J1016" s="24" t="n">
        <v>0</v>
      </c>
      <c r="K1016" s="24" t="n">
        <v>0</v>
      </c>
      <c r="L1016" s="24" t="n">
        <v>0</v>
      </c>
      <c r="M1016" s="6" t="s">
        <f>=I1016+J1016+K1016+L1016</f>
      </c>
      <c r="N1016" s="24"/>
      <c r="O1016" s="22"/>
    </row>
    <row collapsed="false" customFormat="false" customHeight="false" hidden="false" ht="12.1" outlineLevel="0" r="1017">
      <c r="A1017" s="21" t="n">
        <v>45842.477777778</v>
      </c>
      <c r="B1017" s="22" t="s">
        <v>1073</v>
      </c>
      <c r="C1017" s="22" t="s">
        <v>1328</v>
      </c>
      <c r="D1017" s="22" t="s">
        <v>1073</v>
      </c>
      <c r="E1017" s="22" t="s">
        <v>1073</v>
      </c>
      <c r="F1017" s="22" t="s">
        <v>19</v>
      </c>
      <c r="G1017" s="23" t="n">
        <v>1</v>
      </c>
      <c r="H1017" s="24" t="n">
        <v>1</v>
      </c>
      <c r="I1017" s="24" t="n">
        <v>200</v>
      </c>
      <c r="J1017" s="24" t="n">
        <v>0</v>
      </c>
      <c r="K1017" s="24" t="n">
        <v>0</v>
      </c>
      <c r="L1017" s="24" t="n">
        <v>0</v>
      </c>
      <c r="M1017" s="6" t="s">
        <f>=I1017+J1017+K1017+L1017</f>
      </c>
      <c r="N1017" s="24"/>
      <c r="O1017" s="22"/>
    </row>
    <row collapsed="false" customFormat="false" customHeight="false" hidden="false" ht="12.1" outlineLevel="0" r="1018">
      <c r="A1018" s="21" t="n">
        <v>45842.48162037</v>
      </c>
      <c r="B1018" s="22" t="s">
        <v>1063</v>
      </c>
      <c r="C1018" s="22" t="s">
        <v>1072</v>
      </c>
      <c r="D1018" s="22" t="s">
        <v>1063</v>
      </c>
      <c r="E1018" s="22" t="s">
        <v>1063</v>
      </c>
      <c r="F1018" s="22" t="s">
        <v>19</v>
      </c>
      <c r="G1018" s="23" t="n">
        <v>1</v>
      </c>
      <c r="H1018" s="24" t="n">
        <v>1</v>
      </c>
      <c r="I1018" s="24" t="n">
        <v>6.98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4"/>
      <c r="O1018" s="22"/>
    </row>
    <row collapsed="false" customFormat="false" customHeight="false" hidden="false" ht="12.1" outlineLevel="0" r="1019">
      <c r="A1019" s="21" t="n">
        <v>45846.420960648</v>
      </c>
      <c r="B1019" s="22" t="s">
        <v>1063</v>
      </c>
      <c r="C1019" s="22" t="s">
        <v>1329</v>
      </c>
      <c r="D1019" s="22" t="s">
        <v>1063</v>
      </c>
      <c r="E1019" s="22" t="s">
        <v>1063</v>
      </c>
      <c r="F1019" s="22" t="s">
        <v>19</v>
      </c>
      <c r="G1019" s="23" t="n">
        <v>1</v>
      </c>
      <c r="H1019" s="24" t="n">
        <v>1</v>
      </c>
      <c r="I1019" s="24" t="n">
        <v>3.28</v>
      </c>
      <c r="J1019" s="24" t="n">
        <v>0</v>
      </c>
      <c r="K1019" s="24" t="n">
        <v>0</v>
      </c>
      <c r="L1019" s="24" t="n">
        <v>0</v>
      </c>
      <c r="M1019" s="6" t="s">
        <f>=I1019+J1019+K1019+L1019</f>
      </c>
      <c r="N1019" s="24"/>
      <c r="O1019" s="22"/>
    </row>
    <row collapsed="false" customFormat="false" customHeight="false" hidden="false" ht="12.1" outlineLevel="0" r="1020">
      <c r="A1020" s="21" t="n">
        <v>45846.445613426</v>
      </c>
      <c r="B1020" s="22" t="s">
        <v>1063</v>
      </c>
      <c r="C1020" s="22" t="s">
        <v>1330</v>
      </c>
      <c r="D1020" s="22" t="s">
        <v>1063</v>
      </c>
      <c r="E1020" s="22" t="s">
        <v>1063</v>
      </c>
      <c r="F1020" s="22" t="s">
        <v>19</v>
      </c>
      <c r="G1020" s="23" t="n">
        <v>1</v>
      </c>
      <c r="H1020" s="24" t="n">
        <v>1</v>
      </c>
      <c r="I1020" s="24" t="n">
        <v>44.88</v>
      </c>
      <c r="J1020" s="24" t="n">
        <v>0</v>
      </c>
      <c r="K1020" s="24" t="n">
        <v>0</v>
      </c>
      <c r="L1020" s="24" t="n">
        <v>0</v>
      </c>
      <c r="M1020" s="6" t="s">
        <f>=I1020+J1020+K1020+L1020</f>
      </c>
      <c r="N1020" s="24"/>
      <c r="O1020" s="22"/>
    </row>
    <row collapsed="false" customFormat="false" customHeight="false" hidden="false" ht="12.1" outlineLevel="0" r="1021">
      <c r="A1021" s="21" t="n">
        <v>45846.465601852</v>
      </c>
      <c r="B1021" s="22" t="s">
        <v>1063</v>
      </c>
      <c r="C1021" s="22" t="s">
        <v>1318</v>
      </c>
      <c r="D1021" s="22" t="s">
        <v>1063</v>
      </c>
      <c r="E1021" s="22" t="s">
        <v>1063</v>
      </c>
      <c r="F1021" s="22" t="s">
        <v>19</v>
      </c>
      <c r="G1021" s="23" t="n">
        <v>1</v>
      </c>
      <c r="H1021" s="24" t="n">
        <v>1</v>
      </c>
      <c r="I1021" s="24" t="n">
        <v>19.11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4"/>
      <c r="O1021" s="22"/>
    </row>
    <row collapsed="false" customFormat="false" customHeight="false" hidden="false" ht="12.1" outlineLevel="0" r="1022">
      <c r="A1022" s="21" t="n">
        <v>45847.404097222</v>
      </c>
      <c r="B1022" s="22" t="s">
        <v>1063</v>
      </c>
      <c r="C1022" s="22" t="s">
        <v>1314</v>
      </c>
      <c r="D1022" s="22" t="s">
        <v>1063</v>
      </c>
      <c r="E1022" s="22" t="s">
        <v>1063</v>
      </c>
      <c r="F1022" s="22" t="s">
        <v>19</v>
      </c>
      <c r="G1022" s="23" t="n">
        <v>1</v>
      </c>
      <c r="H1022" s="24" t="n">
        <v>1</v>
      </c>
      <c r="I1022" s="24" t="n">
        <v>18.76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4"/>
      <c r="O1022" s="22"/>
    </row>
    <row collapsed="false" customFormat="false" customHeight="false" hidden="false" ht="12.1" outlineLevel="0" r="1023">
      <c r="A1023" s="21" t="n">
        <v>45854.444583333</v>
      </c>
      <c r="B1023" s="22" t="s">
        <v>1063</v>
      </c>
      <c r="C1023" s="22" t="s">
        <v>1304</v>
      </c>
      <c r="D1023" s="22" t="s">
        <v>1063</v>
      </c>
      <c r="E1023" s="22" t="s">
        <v>1063</v>
      </c>
      <c r="F1023" s="22" t="s">
        <v>19</v>
      </c>
      <c r="G1023" s="23" t="n">
        <v>1</v>
      </c>
      <c r="H1023" s="24" t="n">
        <v>1</v>
      </c>
      <c r="I1023" s="24" t="n">
        <v>49.86</v>
      </c>
      <c r="J1023" s="24" t="n">
        <v>0</v>
      </c>
      <c r="K1023" s="24" t="n">
        <v>0</v>
      </c>
      <c r="L1023" s="24" t="n">
        <v>0</v>
      </c>
      <c r="M1023" s="6" t="s">
        <f>=I1023+J1023+K1023+L1023</f>
      </c>
      <c r="N1023" s="24"/>
      <c r="O1023" s="22"/>
    </row>
    <row collapsed="false" customFormat="false" customHeight="false" hidden="false" ht="12.1" outlineLevel="0" r="1024">
      <c r="A1024" s="21" t="n">
        <v>45855.418993056</v>
      </c>
      <c r="B1024" s="22" t="s">
        <v>1063</v>
      </c>
      <c r="C1024" s="22" t="s">
        <v>1194</v>
      </c>
      <c r="D1024" s="22" t="s">
        <v>1063</v>
      </c>
      <c r="E1024" s="22" t="s">
        <v>1063</v>
      </c>
      <c r="F1024" s="22" t="s">
        <v>19</v>
      </c>
      <c r="G1024" s="23" t="n">
        <v>1</v>
      </c>
      <c r="H1024" s="24" t="n">
        <v>1</v>
      </c>
      <c r="I1024" s="24" t="n">
        <v>44.88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4"/>
      <c r="O1024" s="22"/>
    </row>
    <row collapsed="false" customFormat="false" customHeight="false" hidden="false" ht="12.1" outlineLevel="0" r="1025">
      <c r="A1025" s="21" t="n">
        <v>45855.445023148</v>
      </c>
      <c r="B1025" s="22" t="s">
        <v>1063</v>
      </c>
      <c r="C1025" s="22" t="s">
        <v>1256</v>
      </c>
      <c r="D1025" s="22" t="s">
        <v>1063</v>
      </c>
      <c r="E1025" s="22" t="s">
        <v>1063</v>
      </c>
      <c r="F1025" s="22" t="s">
        <v>19</v>
      </c>
      <c r="G1025" s="23" t="n">
        <v>1</v>
      </c>
      <c r="H1025" s="24" t="n">
        <v>1</v>
      </c>
      <c r="I1025" s="24" t="n">
        <v>26.18</v>
      </c>
      <c r="J1025" s="24" t="n">
        <v>0</v>
      </c>
      <c r="K1025" s="24" t="n">
        <v>0</v>
      </c>
      <c r="L1025" s="24" t="n">
        <v>0</v>
      </c>
      <c r="M1025" s="6" t="s">
        <f>=I1025+J1025+K1025+L1025</f>
      </c>
      <c r="N1025" s="24"/>
      <c r="O1025" s="22"/>
    </row>
    <row collapsed="false" customFormat="false" customHeight="false" hidden="false" ht="12.1" outlineLevel="0" r="1026">
      <c r="A1026" s="21" t="n">
        <v>45855.475</v>
      </c>
      <c r="B1026" s="22" t="s">
        <v>1073</v>
      </c>
      <c r="C1026" s="22" t="s">
        <v>1331</v>
      </c>
      <c r="D1026" s="22" t="s">
        <v>1073</v>
      </c>
      <c r="E1026" s="22" t="s">
        <v>1073</v>
      </c>
      <c r="F1026" s="22" t="s">
        <v>19</v>
      </c>
      <c r="G1026" s="23" t="n">
        <v>1</v>
      </c>
      <c r="H1026" s="24" t="n">
        <v>1</v>
      </c>
      <c r="I1026" s="24" t="n">
        <v>2000</v>
      </c>
      <c r="J1026" s="24" t="n">
        <v>0</v>
      </c>
      <c r="K1026" s="24" t="n">
        <v>0</v>
      </c>
      <c r="L1026" s="24" t="n">
        <v>0</v>
      </c>
      <c r="M1026" s="6" t="s">
        <f>=I1026+J1026+K1026+L1026</f>
      </c>
      <c r="N1026" s="24"/>
      <c r="O1026" s="22"/>
    </row>
    <row collapsed="false" customFormat="false" customHeight="false" hidden="false" ht="12.1" outlineLevel="0" r="1027">
      <c r="A1027" s="21" t="n">
        <v>45856.47162037</v>
      </c>
      <c r="B1027" s="22" t="s">
        <v>1063</v>
      </c>
      <c r="C1027" s="22" t="s">
        <v>1303</v>
      </c>
      <c r="D1027" s="22" t="s">
        <v>1063</v>
      </c>
      <c r="E1027" s="22" t="s">
        <v>1063</v>
      </c>
      <c r="F1027" s="22" t="s">
        <v>19</v>
      </c>
      <c r="G1027" s="23" t="n">
        <v>1</v>
      </c>
      <c r="H1027" s="24" t="n">
        <v>1</v>
      </c>
      <c r="I1027" s="24" t="n">
        <v>18.68</v>
      </c>
      <c r="J1027" s="24" t="n">
        <v>0</v>
      </c>
      <c r="K1027" s="24" t="n">
        <v>0</v>
      </c>
      <c r="L1027" s="24" t="n">
        <v>0</v>
      </c>
      <c r="M1027" s="6" t="s">
        <f>=I1027+J1027+K1027+L1027</f>
      </c>
      <c r="N1027" s="24"/>
      <c r="O1027" s="22"/>
    </row>
    <row collapsed="false" customFormat="false" customHeight="false" hidden="false" ht="12.1" outlineLevel="0" r="1028">
      <c r="A1028" s="21" t="n">
        <v>45856.473460648</v>
      </c>
      <c r="B1028" s="22" t="s">
        <v>1063</v>
      </c>
      <c r="C1028" s="22" t="s">
        <v>1332</v>
      </c>
      <c r="D1028" s="22" t="s">
        <v>1063</v>
      </c>
      <c r="E1028" s="22" t="s">
        <v>1063</v>
      </c>
      <c r="F1028" s="22" t="s">
        <v>19</v>
      </c>
      <c r="G1028" s="23" t="n">
        <v>1</v>
      </c>
      <c r="H1028" s="24" t="n">
        <v>1</v>
      </c>
      <c r="I1028" s="24" t="n">
        <v>86.26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4"/>
      <c r="O1028" s="22"/>
    </row>
    <row collapsed="false" customFormat="false" customHeight="false" hidden="false" ht="12.1" outlineLevel="0" r="1029">
      <c r="A1029" s="21" t="n">
        <v>45856.480046296</v>
      </c>
      <c r="B1029" s="22" t="s">
        <v>1063</v>
      </c>
      <c r="C1029" s="22" t="s">
        <v>1333</v>
      </c>
      <c r="D1029" s="22" t="s">
        <v>1063</v>
      </c>
      <c r="E1029" s="22" t="s">
        <v>1063</v>
      </c>
      <c r="F1029" s="22" t="s">
        <v>19</v>
      </c>
      <c r="G1029" s="23" t="n">
        <v>1</v>
      </c>
      <c r="H1029" s="24" t="n">
        <v>1</v>
      </c>
      <c r="I1029" s="24" t="n">
        <v>50.86</v>
      </c>
      <c r="J1029" s="24" t="n">
        <v>0</v>
      </c>
      <c r="K1029" s="24" t="n">
        <v>0</v>
      </c>
      <c r="L1029" s="24" t="n">
        <v>0</v>
      </c>
      <c r="M1029" s="6" t="s">
        <f>=I1029+J1029+K1029+L1029</f>
      </c>
      <c r="N1029" s="24"/>
      <c r="O1029" s="22"/>
    </row>
    <row collapsed="false" customFormat="false" customHeight="false" hidden="false" ht="12.1" outlineLevel="0" r="1030">
      <c r="A1030" s="25" t="n">
        <v>45859.342708333</v>
      </c>
      <c r="B1030" s="26" t="s">
        <v>1089</v>
      </c>
      <c r="C1030" s="26" t="s">
        <v>1321</v>
      </c>
      <c r="D1030" s="26" t="s">
        <v>1089</v>
      </c>
      <c r="E1030" s="26" t="s">
        <v>1089</v>
      </c>
      <c r="F1030" s="26" t="s">
        <v>19</v>
      </c>
      <c r="G1030" s="27" t="n">
        <v>1</v>
      </c>
      <c r="H1030" s="28" t="n">
        <v>-30</v>
      </c>
      <c r="I1030" s="28" t="n">
        <v>-30</v>
      </c>
      <c r="J1030" s="28" t="n">
        <v>0</v>
      </c>
      <c r="K1030" s="28" t="n">
        <v>0</v>
      </c>
      <c r="L1030" s="28" t="n">
        <v>0</v>
      </c>
      <c r="M1030" s="6" t="s">
        <f>=I1030+J1030+K1030+L1030</f>
      </c>
      <c r="N1030" s="28"/>
      <c r="O1030" s="26"/>
    </row>
    <row collapsed="false" customFormat="false" customHeight="false" hidden="false" ht="12.1" outlineLevel="0" r="1031">
      <c r="A1031" s="21" t="n">
        <v>45859.342708333</v>
      </c>
      <c r="B1031" s="22" t="s">
        <v>1063</v>
      </c>
      <c r="C1031" s="22" t="s">
        <v>1320</v>
      </c>
      <c r="D1031" s="22" t="s">
        <v>1063</v>
      </c>
      <c r="E1031" s="22" t="s">
        <v>1063</v>
      </c>
      <c r="F1031" s="22" t="s">
        <v>19</v>
      </c>
      <c r="G1031" s="23" t="n">
        <v>1</v>
      </c>
      <c r="H1031" s="24" t="n">
        <v>1</v>
      </c>
      <c r="I1031" s="24" t="n">
        <v>231</v>
      </c>
      <c r="J1031" s="24" t="n">
        <v>0</v>
      </c>
      <c r="K1031" s="24" t="n">
        <v>0</v>
      </c>
      <c r="L1031" s="24" t="n">
        <v>0</v>
      </c>
      <c r="M1031" s="6" t="s">
        <f>=I1031+J1031+K1031+L1031</f>
      </c>
      <c r="N1031" s="24"/>
      <c r="O1031" s="22"/>
    </row>
    <row collapsed="false" customFormat="false" customHeight="false" hidden="false" ht="12.1" outlineLevel="0" r="1032">
      <c r="A1032" s="21" t="n">
        <v>45860.474861111</v>
      </c>
      <c r="B1032" s="22" t="s">
        <v>1063</v>
      </c>
      <c r="C1032" s="22" t="s">
        <v>1322</v>
      </c>
      <c r="D1032" s="22" t="s">
        <v>1063</v>
      </c>
      <c r="E1032" s="22" t="s">
        <v>1063</v>
      </c>
      <c r="F1032" s="22" t="s">
        <v>19</v>
      </c>
      <c r="G1032" s="23" t="n">
        <v>1</v>
      </c>
      <c r="H1032" s="24" t="n">
        <v>1</v>
      </c>
      <c r="I1032" s="24" t="n">
        <v>20.96</v>
      </c>
      <c r="J1032" s="24" t="n">
        <v>0</v>
      </c>
      <c r="K1032" s="24" t="n">
        <v>0</v>
      </c>
      <c r="L1032" s="24" t="n">
        <v>0</v>
      </c>
      <c r="M1032" s="6" t="s">
        <f>=I1032+J1032+K1032+L1032</f>
      </c>
      <c r="N1032" s="24"/>
      <c r="O1032" s="22"/>
    </row>
    <row collapsed="false" customFormat="false" customHeight="false" hidden="false" ht="12.1" outlineLevel="0" r="1033">
      <c r="A1033" s="21" t="n">
        <v>45860.488263889</v>
      </c>
      <c r="B1033" s="22" t="s">
        <v>1063</v>
      </c>
      <c r="C1033" s="22" t="s">
        <v>1278</v>
      </c>
      <c r="D1033" s="22" t="s">
        <v>1063</v>
      </c>
      <c r="E1033" s="22" t="s">
        <v>1063</v>
      </c>
      <c r="F1033" s="22" t="s">
        <v>19</v>
      </c>
      <c r="G1033" s="23" t="n">
        <v>1</v>
      </c>
      <c r="H1033" s="24" t="n">
        <v>1</v>
      </c>
      <c r="I1033" s="24" t="n">
        <v>108.7</v>
      </c>
      <c r="J1033" s="24" t="n">
        <v>0</v>
      </c>
      <c r="K1033" s="24" t="n">
        <v>0</v>
      </c>
      <c r="L1033" s="24" t="n">
        <v>0</v>
      </c>
      <c r="M1033" s="6" t="s">
        <f>=I1033+J1033+K1033+L1033</f>
      </c>
      <c r="N1033" s="24"/>
      <c r="O1033" s="22"/>
    </row>
    <row collapsed="false" customFormat="false" customHeight="false" hidden="false" ht="12.1" outlineLevel="0" r="1034">
      <c r="A1034" s="21" t="n">
        <v>45860.664409722</v>
      </c>
      <c r="B1034" s="22" t="s">
        <v>1063</v>
      </c>
      <c r="C1034" s="22" t="s">
        <v>1234</v>
      </c>
      <c r="D1034" s="22" t="s">
        <v>1063</v>
      </c>
      <c r="E1034" s="22" t="s">
        <v>1063</v>
      </c>
      <c r="F1034" s="22" t="s">
        <v>19</v>
      </c>
      <c r="G1034" s="23" t="n">
        <v>1</v>
      </c>
      <c r="H1034" s="24" t="n">
        <v>1</v>
      </c>
      <c r="I1034" s="24" t="n">
        <v>700</v>
      </c>
      <c r="J1034" s="24" t="n">
        <v>0</v>
      </c>
      <c r="K1034" s="24" t="n">
        <v>0</v>
      </c>
      <c r="L1034" s="24" t="n">
        <v>0</v>
      </c>
      <c r="M1034" s="6" t="s">
        <f>=I1034+J1034+K1034+L1034</f>
      </c>
      <c r="N1034" s="24"/>
      <c r="O1034" s="22"/>
    </row>
    <row collapsed="false" customFormat="false" customHeight="false" hidden="false" ht="12.1" outlineLevel="0" r="1035">
      <c r="A1035" s="25" t="n">
        <v>45860.664409722</v>
      </c>
      <c r="B1035" s="26" t="s">
        <v>1089</v>
      </c>
      <c r="C1035" s="26" t="s">
        <v>1233</v>
      </c>
      <c r="D1035" s="26" t="s">
        <v>1089</v>
      </c>
      <c r="E1035" s="26" t="s">
        <v>1089</v>
      </c>
      <c r="F1035" s="26" t="s">
        <v>19</v>
      </c>
      <c r="G1035" s="27" t="n">
        <v>1</v>
      </c>
      <c r="H1035" s="28" t="n">
        <v>-84</v>
      </c>
      <c r="I1035" s="28" t="n">
        <v>-84</v>
      </c>
      <c r="J1035" s="28" t="n">
        <v>0</v>
      </c>
      <c r="K1035" s="28" t="n">
        <v>0</v>
      </c>
      <c r="L1035" s="28" t="n">
        <v>0</v>
      </c>
      <c r="M1035" s="6" t="s">
        <f>=I1035+J1035+K1035+L1035</f>
      </c>
      <c r="N1035" s="28"/>
      <c r="O1035" s="26"/>
    </row>
    <row collapsed="false" customFormat="false" customHeight="false" hidden="false" ht="12.1" outlineLevel="0" r="1036">
      <c r="A1036" s="21" t="n">
        <v>45861.489027778</v>
      </c>
      <c r="B1036" s="22" t="s">
        <v>1063</v>
      </c>
      <c r="C1036" s="22" t="s">
        <v>1195</v>
      </c>
      <c r="D1036" s="22" t="s">
        <v>1063</v>
      </c>
      <c r="E1036" s="22" t="s">
        <v>1063</v>
      </c>
      <c r="F1036" s="22" t="s">
        <v>19</v>
      </c>
      <c r="G1036" s="23" t="n">
        <v>1</v>
      </c>
      <c r="H1036" s="24" t="n">
        <v>1</v>
      </c>
      <c r="I1036" s="24" t="n">
        <v>22.97</v>
      </c>
      <c r="J1036" s="24" t="n">
        <v>0</v>
      </c>
      <c r="K1036" s="24" t="n">
        <v>0</v>
      </c>
      <c r="L1036" s="24" t="n">
        <v>0</v>
      </c>
      <c r="M1036" s="6" t="s">
        <f>=I1036+J1036+K1036+L1036</f>
      </c>
      <c r="N1036" s="24"/>
      <c r="O1036" s="22"/>
    </row>
    <row collapsed="false" customFormat="false" customHeight="false" hidden="false" ht="12.1" outlineLevel="0" r="1037">
      <c r="A1037" s="21" t="n">
        <v>45861.489375</v>
      </c>
      <c r="B1037" s="22" t="s">
        <v>1073</v>
      </c>
      <c r="C1037" s="22" t="s">
        <v>1279</v>
      </c>
      <c r="D1037" s="22" t="s">
        <v>1073</v>
      </c>
      <c r="E1037" s="22" t="s">
        <v>1073</v>
      </c>
      <c r="F1037" s="22" t="s">
        <v>19</v>
      </c>
      <c r="G1037" s="23" t="n">
        <v>1</v>
      </c>
      <c r="H1037" s="24" t="n">
        <v>1</v>
      </c>
      <c r="I1037" s="24" t="n">
        <v>165</v>
      </c>
      <c r="J1037" s="24" t="n">
        <v>0</v>
      </c>
      <c r="K1037" s="24" t="n">
        <v>0</v>
      </c>
      <c r="L1037" s="24" t="n">
        <v>0</v>
      </c>
      <c r="M1037" s="6" t="s">
        <f>=I1037+J1037+K1037+L1037</f>
      </c>
      <c r="N1037" s="24"/>
      <c r="O1037" s="22"/>
    </row>
    <row collapsed="false" customFormat="false" customHeight="false" hidden="false" ht="12.1" outlineLevel="0" r="1038">
      <c r="A1038" s="21" t="n">
        <v>45861.597002315</v>
      </c>
      <c r="B1038" s="22" t="s">
        <v>1063</v>
      </c>
      <c r="C1038" s="22" t="s">
        <v>1251</v>
      </c>
      <c r="D1038" s="22" t="s">
        <v>1063</v>
      </c>
      <c r="E1038" s="22" t="s">
        <v>1063</v>
      </c>
      <c r="F1038" s="22" t="s">
        <v>19</v>
      </c>
      <c r="G1038" s="23" t="n">
        <v>1</v>
      </c>
      <c r="H1038" s="24" t="n">
        <v>1</v>
      </c>
      <c r="I1038" s="24" t="n">
        <v>11.18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4"/>
      <c r="O1038" s="22"/>
    </row>
    <row collapsed="false" customFormat="false" customHeight="false" hidden="false" ht="12.1" outlineLevel="0" r="1039">
      <c r="A1039" s="21" t="n">
        <v>45862.503344907</v>
      </c>
      <c r="B1039" s="22" t="s">
        <v>1063</v>
      </c>
      <c r="C1039" s="22" t="s">
        <v>1180</v>
      </c>
      <c r="D1039" s="22" t="s">
        <v>1063</v>
      </c>
      <c r="E1039" s="22" t="s">
        <v>1063</v>
      </c>
      <c r="F1039" s="22" t="s">
        <v>19</v>
      </c>
      <c r="G1039" s="23" t="n">
        <v>1</v>
      </c>
      <c r="H1039" s="24" t="n">
        <v>1</v>
      </c>
      <c r="I1039" s="24" t="n">
        <v>54.58</v>
      </c>
      <c r="J1039" s="24" t="n">
        <v>0</v>
      </c>
      <c r="K1039" s="24" t="n">
        <v>0</v>
      </c>
      <c r="L1039" s="24" t="n">
        <v>0</v>
      </c>
      <c r="M1039" s="6" t="s">
        <f>=I1039+J1039+K1039+L1039</f>
      </c>
      <c r="N1039" s="24"/>
      <c r="O1039" s="22"/>
    </row>
    <row collapsed="false" customFormat="false" customHeight="false" hidden="false" ht="12.1" outlineLevel="0" r="1040">
      <c r="A1040" s="21" t="n">
        <v>45862.508252315</v>
      </c>
      <c r="B1040" s="22" t="s">
        <v>1063</v>
      </c>
      <c r="C1040" s="22" t="s">
        <v>1160</v>
      </c>
      <c r="D1040" s="22" t="s">
        <v>1063</v>
      </c>
      <c r="E1040" s="22" t="s">
        <v>1063</v>
      </c>
      <c r="F1040" s="22" t="s">
        <v>19</v>
      </c>
      <c r="G1040" s="23" t="n">
        <v>1</v>
      </c>
      <c r="H1040" s="24" t="n">
        <v>1</v>
      </c>
      <c r="I1040" s="24" t="n">
        <v>43.38</v>
      </c>
      <c r="J1040" s="24" t="n">
        <v>0</v>
      </c>
      <c r="K1040" s="24" t="n">
        <v>0</v>
      </c>
      <c r="L1040" s="24" t="n">
        <v>0</v>
      </c>
      <c r="M1040" s="6" t="s">
        <f>=I1040+J1040+K1040+L1040</f>
      </c>
      <c r="N1040" s="24"/>
      <c r="O1040" s="22"/>
    </row>
    <row collapsed="false" customFormat="false" customHeight="false" hidden="false" ht="12.1" outlineLevel="0" r="1041">
      <c r="A1041" s="21" t="n">
        <v>45863.471875</v>
      </c>
      <c r="B1041" s="22" t="s">
        <v>1063</v>
      </c>
      <c r="C1041" s="22" t="s">
        <v>1235</v>
      </c>
      <c r="D1041" s="22" t="s">
        <v>1063</v>
      </c>
      <c r="E1041" s="22" t="s">
        <v>1063</v>
      </c>
      <c r="F1041" s="22" t="s">
        <v>19</v>
      </c>
      <c r="G1041" s="23" t="n">
        <v>1</v>
      </c>
      <c r="H1041" s="24" t="n">
        <v>1</v>
      </c>
      <c r="I1041" s="24" t="n">
        <v>34.68</v>
      </c>
      <c r="J1041" s="24" t="n">
        <v>0</v>
      </c>
      <c r="K1041" s="24" t="n">
        <v>0</v>
      </c>
      <c r="L1041" s="24" t="n">
        <v>0</v>
      </c>
      <c r="M1041" s="6" t="s">
        <f>=I1041+J1041+K1041+L1041</f>
      </c>
      <c r="N1041" s="24"/>
      <c r="O1041" s="22"/>
    </row>
    <row collapsed="false" customFormat="false" customHeight="false" hidden="false" ht="12.1" outlineLevel="0" r="1042">
      <c r="A1042" s="25" t="n">
        <v>45863.641655093</v>
      </c>
      <c r="B1042" s="26" t="s">
        <v>1089</v>
      </c>
      <c r="C1042" s="26" t="s">
        <v>1156</v>
      </c>
      <c r="D1042" s="26" t="s">
        <v>1089</v>
      </c>
      <c r="E1042" s="26" t="s">
        <v>1089</v>
      </c>
      <c r="F1042" s="26" t="s">
        <v>19</v>
      </c>
      <c r="G1042" s="27" t="n">
        <v>1</v>
      </c>
      <c r="H1042" s="28" t="n">
        <v>-101</v>
      </c>
      <c r="I1042" s="28" t="n">
        <v>-101</v>
      </c>
      <c r="J1042" s="28" t="n">
        <v>0</v>
      </c>
      <c r="K1042" s="28" t="n">
        <v>0</v>
      </c>
      <c r="L1042" s="28" t="n">
        <v>0</v>
      </c>
      <c r="M1042" s="6" t="s">
        <f>=I1042+J1042+K1042+L1042</f>
      </c>
      <c r="N1042" s="28"/>
      <c r="O1042" s="26"/>
    </row>
    <row collapsed="false" customFormat="false" customHeight="false" hidden="false" ht="12.1" outlineLevel="0" r="1043">
      <c r="A1043" s="21" t="n">
        <v>45863.641655093</v>
      </c>
      <c r="B1043" s="22" t="s">
        <v>1063</v>
      </c>
      <c r="C1043" s="22" t="s">
        <v>1155</v>
      </c>
      <c r="D1043" s="22" t="s">
        <v>1063</v>
      </c>
      <c r="E1043" s="22" t="s">
        <v>1063</v>
      </c>
      <c r="F1043" s="22" t="s">
        <v>19</v>
      </c>
      <c r="G1043" s="23" t="n">
        <v>1</v>
      </c>
      <c r="H1043" s="24" t="n">
        <v>1</v>
      </c>
      <c r="I1043" s="24" t="n">
        <v>783.3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4"/>
      <c r="O1043" s="22"/>
    </row>
    <row collapsed="false" customFormat="false" customHeight="false" hidden="false" ht="12.1" outlineLevel="0" r="1044">
      <c r="A1044" s="21" t="n">
        <v>45863.651168981</v>
      </c>
      <c r="B1044" s="22" t="s">
        <v>1063</v>
      </c>
      <c r="C1044" s="22" t="s">
        <v>1334</v>
      </c>
      <c r="D1044" s="22" t="s">
        <v>1063</v>
      </c>
      <c r="E1044" s="22" t="s">
        <v>1063</v>
      </c>
      <c r="F1044" s="22" t="s">
        <v>19</v>
      </c>
      <c r="G1044" s="23" t="n">
        <v>1</v>
      </c>
      <c r="H1044" s="24" t="n">
        <v>1</v>
      </c>
      <c r="I1044" s="24" t="n">
        <v>1279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4"/>
      <c r="O1044" s="22"/>
    </row>
    <row collapsed="false" customFormat="false" customHeight="false" hidden="false" ht="12.1" outlineLevel="0" r="1045">
      <c r="A1045" s="25" t="n">
        <v>45863.651168981</v>
      </c>
      <c r="B1045" s="26" t="s">
        <v>1089</v>
      </c>
      <c r="C1045" s="26" t="s">
        <v>1335</v>
      </c>
      <c r="D1045" s="26" t="s">
        <v>1089</v>
      </c>
      <c r="E1045" s="26" t="s">
        <v>1089</v>
      </c>
      <c r="F1045" s="26" t="s">
        <v>19</v>
      </c>
      <c r="G1045" s="27" t="n">
        <v>1</v>
      </c>
      <c r="H1045" s="28" t="n">
        <v>-155</v>
      </c>
      <c r="I1045" s="28" t="n">
        <v>-155</v>
      </c>
      <c r="J1045" s="28" t="n">
        <v>0</v>
      </c>
      <c r="K1045" s="28" t="n">
        <v>0</v>
      </c>
      <c r="L1045" s="28" t="n">
        <v>0</v>
      </c>
      <c r="M1045" s="6" t="s">
        <f>=I1045+J1045+K1045+L1045</f>
      </c>
      <c r="N1045" s="28"/>
      <c r="O1045" s="26"/>
    </row>
    <row collapsed="false" customFormat="false" customHeight="false" hidden="false" ht="12.1" outlineLevel="0" r="1046">
      <c r="A1046" s="21" t="n">
        <v>45867.575590278</v>
      </c>
      <c r="B1046" s="22" t="s">
        <v>1063</v>
      </c>
      <c r="C1046" s="22" t="s">
        <v>1323</v>
      </c>
      <c r="D1046" s="22" t="s">
        <v>1063</v>
      </c>
      <c r="E1046" s="22" t="s">
        <v>1063</v>
      </c>
      <c r="F1046" s="22" t="s">
        <v>19</v>
      </c>
      <c r="G1046" s="23" t="n">
        <v>1</v>
      </c>
      <c r="H1046" s="24" t="n">
        <v>1</v>
      </c>
      <c r="I1046" s="24" t="n">
        <v>19.48</v>
      </c>
      <c r="J1046" s="24" t="n">
        <v>0</v>
      </c>
      <c r="K1046" s="24" t="n">
        <v>0</v>
      </c>
      <c r="L1046" s="24" t="n">
        <v>0</v>
      </c>
      <c r="M1046" s="6" t="s">
        <f>=I1046+J1046+K1046+L1046</f>
      </c>
      <c r="N1046" s="24"/>
      <c r="O1046" s="22"/>
    </row>
    <row collapsed="false" customFormat="false" customHeight="false" hidden="false" ht="12.1" outlineLevel="0" r="1047">
      <c r="A1047" s="21" t="n">
        <v>45868.446041667</v>
      </c>
      <c r="B1047" s="22" t="s">
        <v>1063</v>
      </c>
      <c r="C1047" s="22" t="s">
        <v>1117</v>
      </c>
      <c r="D1047" s="22" t="s">
        <v>1063</v>
      </c>
      <c r="E1047" s="22" t="s">
        <v>1063</v>
      </c>
      <c r="F1047" s="22" t="s">
        <v>19</v>
      </c>
      <c r="G1047" s="23" t="n">
        <v>1</v>
      </c>
      <c r="H1047" s="24" t="n">
        <v>1</v>
      </c>
      <c r="I1047" s="24" t="n">
        <v>28.22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4"/>
      <c r="O1047" s="22"/>
    </row>
    <row collapsed="false" customFormat="false" customHeight="false" hidden="false" ht="12.1" outlineLevel="0" r="1048">
      <c r="A1048" s="21" t="n">
        <v>45868.459016204</v>
      </c>
      <c r="B1048" s="22" t="s">
        <v>1063</v>
      </c>
      <c r="C1048" s="22" t="s">
        <v>1236</v>
      </c>
      <c r="D1048" s="22" t="s">
        <v>1063</v>
      </c>
      <c r="E1048" s="22" t="s">
        <v>1063</v>
      </c>
      <c r="F1048" s="22" t="s">
        <v>19</v>
      </c>
      <c r="G1048" s="23" t="n">
        <v>1</v>
      </c>
      <c r="H1048" s="24" t="n">
        <v>1</v>
      </c>
      <c r="I1048" s="24" t="n">
        <v>58.34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4"/>
      <c r="O1048" s="22"/>
    </row>
    <row collapsed="false" customFormat="false" customHeight="false" hidden="false" ht="12.1" outlineLevel="0" r="1049">
      <c r="A1049" s="21" t="n">
        <v>45869.451180556</v>
      </c>
      <c r="B1049" s="22" t="s">
        <v>1063</v>
      </c>
      <c r="C1049" s="22" t="s">
        <v>1181</v>
      </c>
      <c r="D1049" s="22" t="s">
        <v>1063</v>
      </c>
      <c r="E1049" s="22" t="s">
        <v>1063</v>
      </c>
      <c r="F1049" s="22" t="s">
        <v>19</v>
      </c>
      <c r="G1049" s="23" t="n">
        <v>1</v>
      </c>
      <c r="H1049" s="24" t="n">
        <v>1</v>
      </c>
      <c r="I1049" s="24" t="n">
        <v>50.42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4"/>
      <c r="O1049" s="22"/>
    </row>
    <row collapsed="false" customFormat="false" customHeight="false" hidden="false" ht="12.1" outlineLevel="0" r="1050">
      <c r="A1050" s="21" t="n">
        <v>45869.455347222</v>
      </c>
      <c r="B1050" s="22" t="s">
        <v>1063</v>
      </c>
      <c r="C1050" s="22" t="s">
        <v>1237</v>
      </c>
      <c r="D1050" s="22" t="s">
        <v>1063</v>
      </c>
      <c r="E1050" s="22" t="s">
        <v>1063</v>
      </c>
      <c r="F1050" s="22" t="s">
        <v>19</v>
      </c>
      <c r="G1050" s="23" t="n">
        <v>1</v>
      </c>
      <c r="H1050" s="24" t="n">
        <v>1</v>
      </c>
      <c r="I1050" s="24" t="n">
        <v>137.64</v>
      </c>
      <c r="J1050" s="24" t="n">
        <v>0</v>
      </c>
      <c r="K1050" s="24" t="n">
        <v>0</v>
      </c>
      <c r="L1050" s="24" t="n">
        <v>0</v>
      </c>
      <c r="M1050" s="6" t="s">
        <f>=I1050+J1050+K1050+L1050</f>
      </c>
      <c r="N1050" s="24"/>
      <c r="O1050" s="22"/>
    </row>
    <row collapsed="false" customFormat="false" customHeight="false" hidden="false" ht="12.1" outlineLevel="0" r="1051">
      <c r="A1051" s="21" t="n">
        <v>45869.456724537</v>
      </c>
      <c r="B1051" s="22" t="s">
        <v>1063</v>
      </c>
      <c r="C1051" s="22" t="s">
        <v>1207</v>
      </c>
      <c r="D1051" s="22" t="s">
        <v>1063</v>
      </c>
      <c r="E1051" s="22" t="s">
        <v>1063</v>
      </c>
      <c r="F1051" s="22" t="s">
        <v>19</v>
      </c>
      <c r="G1051" s="23" t="n">
        <v>1</v>
      </c>
      <c r="H1051" s="24" t="n">
        <v>1</v>
      </c>
      <c r="I1051" s="24" t="n">
        <v>18.4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4"/>
      <c r="O1051" s="22"/>
    </row>
    <row collapsed="false" customFormat="false" customHeight="false" hidden="false" ht="12.1" outlineLevel="0" r="1052">
      <c r="A1052" s="21" t="n">
        <v>45869.466296296</v>
      </c>
      <c r="B1052" s="22" t="s">
        <v>1063</v>
      </c>
      <c r="C1052" s="22" t="s">
        <v>1081</v>
      </c>
      <c r="D1052" s="22" t="s">
        <v>1063</v>
      </c>
      <c r="E1052" s="22" t="s">
        <v>1063</v>
      </c>
      <c r="F1052" s="22" t="s">
        <v>19</v>
      </c>
      <c r="G1052" s="23" t="n">
        <v>1</v>
      </c>
      <c r="H1052" s="24" t="n">
        <v>1</v>
      </c>
      <c r="I1052" s="24" t="n">
        <v>943.02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4"/>
      <c r="O1052" s="22"/>
    </row>
    <row collapsed="false" customFormat="false" customHeight="false" hidden="false" ht="12.1" outlineLevel="0" r="1053">
      <c r="A1053" s="21" t="n">
        <v>45869.543101852</v>
      </c>
      <c r="B1053" s="22" t="s">
        <v>1056</v>
      </c>
      <c r="C1053" s="22" t="s">
        <v>350</v>
      </c>
      <c r="D1053" s="22" t="s">
        <v>1056</v>
      </c>
      <c r="E1053" s="22" t="s">
        <v>1056</v>
      </c>
      <c r="F1053" s="22" t="s">
        <v>19</v>
      </c>
      <c r="G1053" s="23" t="n">
        <v>1</v>
      </c>
      <c r="H1053" s="24" t="n">
        <v>1</v>
      </c>
      <c r="I1053" s="24" t="n">
        <v>11600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4"/>
      <c r="O1053" s="22"/>
    </row>
    <row collapsed="false" customFormat="false" customHeight="false" hidden="false" ht="12.1" outlineLevel="0" r="1054">
      <c r="A1054" s="20" t="n">
        <v>45869.566631944</v>
      </c>
      <c r="B1054" s="16" t="s">
        <v>100</v>
      </c>
      <c r="C1054" s="16" t="s">
        <v>1253</v>
      </c>
      <c r="D1054" s="16" t="s">
        <v>912</v>
      </c>
      <c r="E1054" s="16" t="s">
        <v>85</v>
      </c>
      <c r="F1054" s="16" t="s">
        <v>19</v>
      </c>
      <c r="G1054" s="7" t="n">
        <v>1</v>
      </c>
      <c r="H1054" s="6" t="n">
        <v>90.13</v>
      </c>
      <c r="I1054" s="6" t="n">
        <v>-901.3</v>
      </c>
      <c r="J1054" s="6" t="n">
        <v>-19.47</v>
      </c>
      <c r="K1054" s="6" t="n">
        <v>-0.36</v>
      </c>
      <c r="L1054" s="6" t="n">
        <v>0</v>
      </c>
      <c r="M1054" s="6" t="s">
        <f>=I1054+J1054+K1054+L1054</f>
      </c>
      <c r="N1054" s="6"/>
      <c r="O1054" s="16"/>
    </row>
    <row collapsed="false" customFormat="false" customHeight="false" hidden="false" ht="12.1" outlineLevel="0" r="1055">
      <c r="A1055" s="20" t="n">
        <v>45869.566851852</v>
      </c>
      <c r="B1055" s="16" t="s">
        <v>121</v>
      </c>
      <c r="C1055" s="16" t="s">
        <v>1285</v>
      </c>
      <c r="D1055" s="16" t="s">
        <v>912</v>
      </c>
      <c r="E1055" s="16" t="s">
        <v>85</v>
      </c>
      <c r="F1055" s="16" t="s">
        <v>19</v>
      </c>
      <c r="G1055" s="7" t="n">
        <v>1</v>
      </c>
      <c r="H1055" s="6" t="n">
        <v>89.999</v>
      </c>
      <c r="I1055" s="6" t="n">
        <v>-899.99</v>
      </c>
      <c r="J1055" s="6" t="n">
        <v>-37.48</v>
      </c>
      <c r="K1055" s="6" t="n">
        <v>-0.36</v>
      </c>
      <c r="L1055" s="6" t="n">
        <v>0</v>
      </c>
      <c r="M1055" s="6" t="s">
        <f>=I1055+J1055+K1055+L1055</f>
      </c>
      <c r="N1055" s="6"/>
      <c r="O1055" s="16"/>
    </row>
    <row collapsed="false" customFormat="false" customHeight="false" hidden="false" ht="12.1" outlineLevel="0" r="1056">
      <c r="A1056" s="20" t="n">
        <v>45869.567071759</v>
      </c>
      <c r="B1056" s="16" t="s">
        <v>115</v>
      </c>
      <c r="C1056" s="16" t="s">
        <v>1252</v>
      </c>
      <c r="D1056" s="16" t="s">
        <v>912</v>
      </c>
      <c r="E1056" s="16" t="s">
        <v>85</v>
      </c>
      <c r="F1056" s="16" t="s">
        <v>19</v>
      </c>
      <c r="G1056" s="7" t="n">
        <v>1</v>
      </c>
      <c r="H1056" s="6" t="n">
        <v>90.278</v>
      </c>
      <c r="I1056" s="6" t="n">
        <v>-902.78</v>
      </c>
      <c r="J1056" s="6" t="n">
        <v>-21.81</v>
      </c>
      <c r="K1056" s="6" t="n">
        <v>-0.36</v>
      </c>
      <c r="L1056" s="6" t="n">
        <v>0</v>
      </c>
      <c r="M1056" s="6" t="s">
        <f>=I1056+J1056+K1056+L1056</f>
      </c>
      <c r="N1056" s="6"/>
      <c r="O1056" s="16"/>
    </row>
    <row collapsed="false" customFormat="false" customHeight="false" hidden="false" ht="12.1" outlineLevel="0" r="1057">
      <c r="A1057" s="20" t="n">
        <v>45869.567465278</v>
      </c>
      <c r="B1057" s="16" t="s">
        <v>97</v>
      </c>
      <c r="C1057" s="16" t="s">
        <v>1284</v>
      </c>
      <c r="D1057" s="16" t="s">
        <v>912</v>
      </c>
      <c r="E1057" s="16" t="s">
        <v>85</v>
      </c>
      <c r="F1057" s="16" t="s">
        <v>19</v>
      </c>
      <c r="G1057" s="7" t="n">
        <v>1</v>
      </c>
      <c r="H1057" s="6" t="n">
        <v>89.818</v>
      </c>
      <c r="I1057" s="6" t="n">
        <v>-898.18</v>
      </c>
      <c r="J1057" s="6" t="n">
        <v>-42.09</v>
      </c>
      <c r="K1057" s="6" t="n">
        <v>-0.36</v>
      </c>
      <c r="L1057" s="6" t="n">
        <v>0</v>
      </c>
      <c r="M1057" s="6" t="s">
        <f>=I1057+J1057+K1057+L1057</f>
      </c>
      <c r="N1057" s="6"/>
      <c r="O1057" s="16"/>
    </row>
    <row collapsed="false" customFormat="false" customHeight="false" hidden="false" ht="12.1" outlineLevel="0" r="1058">
      <c r="A1058" s="20" t="n">
        <v>45869.567627315</v>
      </c>
      <c r="B1058" s="16" t="s">
        <v>91</v>
      </c>
      <c r="C1058" s="16" t="s">
        <v>1167</v>
      </c>
      <c r="D1058" s="16" t="s">
        <v>912</v>
      </c>
      <c r="E1058" s="16" t="s">
        <v>85</v>
      </c>
      <c r="F1058" s="16" t="s">
        <v>19</v>
      </c>
      <c r="G1058" s="7" t="n">
        <v>1</v>
      </c>
      <c r="H1058" s="6" t="n">
        <v>76.096</v>
      </c>
      <c r="I1058" s="6" t="n">
        <v>-760.96</v>
      </c>
      <c r="J1058" s="6" t="n">
        <v>-15.57</v>
      </c>
      <c r="K1058" s="6" t="n">
        <v>-0.3</v>
      </c>
      <c r="L1058" s="6" t="n">
        <v>0</v>
      </c>
      <c r="M1058" s="6" t="s">
        <f>=I1058+J1058+K1058+L1058</f>
      </c>
      <c r="N1058" s="6"/>
      <c r="O1058" s="16"/>
    </row>
    <row collapsed="false" customFormat="false" customHeight="false" hidden="false" ht="12.1" outlineLevel="0" r="1059">
      <c r="A1059" s="20" t="n">
        <v>45869.568113426</v>
      </c>
      <c r="B1059" s="16" t="s">
        <v>130</v>
      </c>
      <c r="C1059" s="16" t="s">
        <v>1193</v>
      </c>
      <c r="D1059" s="16" t="s">
        <v>912</v>
      </c>
      <c r="E1059" s="16" t="s">
        <v>85</v>
      </c>
      <c r="F1059" s="16" t="s">
        <v>19</v>
      </c>
      <c r="G1059" s="7" t="n">
        <v>1</v>
      </c>
      <c r="H1059" s="6" t="n">
        <v>88.53</v>
      </c>
      <c r="I1059" s="6" t="n">
        <v>-885.3</v>
      </c>
      <c r="J1059" s="6" t="n">
        <v>-39.45</v>
      </c>
      <c r="K1059" s="6" t="n">
        <v>-0.35</v>
      </c>
      <c r="L1059" s="6" t="n">
        <v>0</v>
      </c>
      <c r="M1059" s="6" t="s">
        <f>=I1059+J1059+K1059+L1059</f>
      </c>
      <c r="N1059" s="6"/>
      <c r="O1059" s="16"/>
    </row>
    <row collapsed="false" customFormat="false" customHeight="false" hidden="false" ht="12.1" outlineLevel="0" r="1060">
      <c r="A1060" s="20" t="n">
        <v>45869.568414352</v>
      </c>
      <c r="B1060" s="16" t="s">
        <v>84</v>
      </c>
      <c r="C1060" s="16" t="s">
        <v>1065</v>
      </c>
      <c r="D1060" s="16" t="s">
        <v>912</v>
      </c>
      <c r="E1060" s="16" t="s">
        <v>85</v>
      </c>
      <c r="F1060" s="16" t="s">
        <v>19</v>
      </c>
      <c r="G1060" s="7" t="n">
        <v>1</v>
      </c>
      <c r="H1060" s="6" t="n">
        <v>59.9</v>
      </c>
      <c r="I1060" s="6" t="n">
        <v>-599</v>
      </c>
      <c r="J1060" s="6" t="n">
        <v>-0.33000000000004</v>
      </c>
      <c r="K1060" s="6" t="n">
        <v>-0.24</v>
      </c>
      <c r="L1060" s="6" t="n">
        <v>0</v>
      </c>
      <c r="M1060" s="6" t="s">
        <f>=I1060+J1060+K1060+L1060</f>
      </c>
      <c r="N1060" s="6"/>
      <c r="O1060" s="16"/>
    </row>
    <row collapsed="false" customFormat="false" customHeight="false" hidden="false" ht="12.1" outlineLevel="0" r="1061">
      <c r="A1061" s="20" t="n">
        <v>45869.568645833</v>
      </c>
      <c r="B1061" s="16" t="s">
        <v>136</v>
      </c>
      <c r="C1061" s="16" t="s">
        <v>1066</v>
      </c>
      <c r="D1061" s="16" t="s">
        <v>912</v>
      </c>
      <c r="E1061" s="16" t="s">
        <v>85</v>
      </c>
      <c r="F1061" s="16" t="s">
        <v>19</v>
      </c>
      <c r="G1061" s="7" t="n">
        <v>1</v>
      </c>
      <c r="H1061" s="6" t="n">
        <v>68.801</v>
      </c>
      <c r="I1061" s="6" t="n">
        <v>-688.01</v>
      </c>
      <c r="J1061" s="6" t="n">
        <v>-14.3</v>
      </c>
      <c r="K1061" s="6" t="n">
        <v>-0.28</v>
      </c>
      <c r="L1061" s="6" t="n">
        <v>0</v>
      </c>
      <c r="M1061" s="6" t="s">
        <f>=I1061+J1061+K1061+L1061</f>
      </c>
      <c r="N1061" s="6"/>
      <c r="O1061" s="16"/>
    </row>
    <row collapsed="false" customFormat="false" customHeight="false" hidden="false" ht="12.1" outlineLevel="0" r="1062">
      <c r="A1062" s="20" t="n">
        <v>45869.568877315</v>
      </c>
      <c r="B1062" s="16" t="s">
        <v>127</v>
      </c>
      <c r="C1062" s="16" t="s">
        <v>1099</v>
      </c>
      <c r="D1062" s="16" t="s">
        <v>912</v>
      </c>
      <c r="E1062" s="16" t="s">
        <v>85</v>
      </c>
      <c r="F1062" s="16" t="s">
        <v>19</v>
      </c>
      <c r="G1062" s="7" t="n">
        <v>1</v>
      </c>
      <c r="H1062" s="6" t="n">
        <v>73.099</v>
      </c>
      <c r="I1062" s="6" t="n">
        <v>-730.99</v>
      </c>
      <c r="J1062" s="6" t="n">
        <v>-25.52</v>
      </c>
      <c r="K1062" s="6" t="n">
        <v>-0.29</v>
      </c>
      <c r="L1062" s="6" t="n">
        <v>0</v>
      </c>
      <c r="M1062" s="6" t="s">
        <f>=I1062+J1062+K1062+L1062</f>
      </c>
      <c r="N1062" s="6"/>
      <c r="O1062" s="16"/>
    </row>
    <row collapsed="false" customFormat="false" customHeight="false" hidden="false" ht="12.1" outlineLevel="0" r="1063">
      <c r="A1063" s="20" t="n">
        <v>45869.569131944</v>
      </c>
      <c r="B1063" s="16" t="s">
        <v>100</v>
      </c>
      <c r="C1063" s="16" t="s">
        <v>1253</v>
      </c>
      <c r="D1063" s="16" t="s">
        <v>912</v>
      </c>
      <c r="E1063" s="16" t="s">
        <v>85</v>
      </c>
      <c r="F1063" s="16" t="s">
        <v>19</v>
      </c>
      <c r="G1063" s="7" t="n">
        <v>1</v>
      </c>
      <c r="H1063" s="6" t="n">
        <v>90.13</v>
      </c>
      <c r="I1063" s="6" t="n">
        <v>-901.3</v>
      </c>
      <c r="J1063" s="6" t="n">
        <v>-19.47</v>
      </c>
      <c r="K1063" s="6" t="n">
        <v>-0.36</v>
      </c>
      <c r="L1063" s="6" t="n">
        <v>0</v>
      </c>
      <c r="M1063" s="6" t="s">
        <f>=I1063+J1063+K1063+L1063</f>
      </c>
      <c r="N1063" s="6"/>
      <c r="O1063" s="16"/>
    </row>
    <row collapsed="false" customFormat="false" customHeight="false" hidden="false" ht="12.1" outlineLevel="0" r="1064">
      <c r="A1064" s="20" t="n">
        <v>45869.569305556</v>
      </c>
      <c r="B1064" s="16" t="s">
        <v>121</v>
      </c>
      <c r="C1064" s="16" t="s">
        <v>1285</v>
      </c>
      <c r="D1064" s="16" t="s">
        <v>912</v>
      </c>
      <c r="E1064" s="16" t="s">
        <v>85</v>
      </c>
      <c r="F1064" s="16" t="s">
        <v>19</v>
      </c>
      <c r="G1064" s="7" t="n">
        <v>1</v>
      </c>
      <c r="H1064" s="6" t="n">
        <v>89.999</v>
      </c>
      <c r="I1064" s="6" t="n">
        <v>-899.99</v>
      </c>
      <c r="J1064" s="6" t="n">
        <v>-37.48</v>
      </c>
      <c r="K1064" s="6" t="n">
        <v>-0.36</v>
      </c>
      <c r="L1064" s="6" t="n">
        <v>0</v>
      </c>
      <c r="M1064" s="6" t="s">
        <f>=I1064+J1064+K1064+L1064</f>
      </c>
      <c r="N1064" s="6"/>
      <c r="O1064" s="16"/>
    </row>
    <row collapsed="false" customFormat="false" customHeight="false" hidden="false" ht="12.1" outlineLevel="0" r="1065">
      <c r="A1065" s="20" t="n">
        <v>45869.570717593</v>
      </c>
      <c r="B1065" s="16" t="s">
        <v>16</v>
      </c>
      <c r="C1065" s="16" t="s">
        <v>1112</v>
      </c>
      <c r="D1065" s="16" t="s">
        <v>912</v>
      </c>
      <c r="E1065" s="16" t="s">
        <v>17</v>
      </c>
      <c r="F1065" s="16" t="s">
        <v>19</v>
      </c>
      <c r="G1065" s="7" t="n">
        <v>10</v>
      </c>
      <c r="H1065" s="6" t="n">
        <v>304.23</v>
      </c>
      <c r="I1065" s="6" t="n">
        <v>-3042.3</v>
      </c>
      <c r="J1065" s="6" t="n">
        <v>0</v>
      </c>
      <c r="K1065" s="6" t="n">
        <v>-1.22</v>
      </c>
      <c r="L1065" s="6" t="n">
        <v>0</v>
      </c>
      <c r="M1065" s="6" t="s">
        <f>=I1065+J1065+K1065+L1065</f>
      </c>
      <c r="N1065" s="6"/>
      <c r="O1065" s="16"/>
    </row>
    <row collapsed="false" customFormat="false" customHeight="false" hidden="false" ht="12.1" outlineLevel="0" r="1066">
      <c r="A1066" s="20" t="n">
        <v>45869.571168981</v>
      </c>
      <c r="B1066" s="16" t="s">
        <v>21</v>
      </c>
      <c r="C1066" s="16" t="s">
        <v>1336</v>
      </c>
      <c r="D1066" s="16" t="s">
        <v>912</v>
      </c>
      <c r="E1066" s="16" t="s">
        <v>17</v>
      </c>
      <c r="F1066" s="16" t="s">
        <v>19</v>
      </c>
      <c r="G1066" s="7" t="n">
        <v>1</v>
      </c>
      <c r="H1066" s="6" t="n">
        <v>4181</v>
      </c>
      <c r="I1066" s="6" t="n">
        <v>-4181</v>
      </c>
      <c r="J1066" s="6" t="n">
        <v>0</v>
      </c>
      <c r="K1066" s="6" t="n">
        <v>-1.67</v>
      </c>
      <c r="L1066" s="6" t="n">
        <v>0</v>
      </c>
      <c r="M1066" s="6" t="s">
        <f>=I1066+J1066+K1066+L1066</f>
      </c>
      <c r="N1066" s="6"/>
      <c r="O1066" s="16"/>
    </row>
    <row collapsed="false" customFormat="false" customHeight="false" hidden="false" ht="12.1" outlineLevel="0" r="1067">
      <c r="A1067" s="25" t="n">
        <v>45870.583506944</v>
      </c>
      <c r="B1067" s="26" t="s">
        <v>1089</v>
      </c>
      <c r="C1067" s="26" t="s">
        <v>1337</v>
      </c>
      <c r="D1067" s="26" t="s">
        <v>1089</v>
      </c>
      <c r="E1067" s="26" t="s">
        <v>1089</v>
      </c>
      <c r="F1067" s="26" t="s">
        <v>19</v>
      </c>
      <c r="G1067" s="27" t="n">
        <v>1</v>
      </c>
      <c r="H1067" s="28" t="n">
        <v>-11</v>
      </c>
      <c r="I1067" s="28" t="n">
        <v>-11</v>
      </c>
      <c r="J1067" s="28" t="n">
        <v>0</v>
      </c>
      <c r="K1067" s="28" t="n">
        <v>0</v>
      </c>
      <c r="L1067" s="28" t="n">
        <v>0</v>
      </c>
      <c r="M1067" s="6" t="s">
        <f>=I1067+J1067+K1067+L1067</f>
      </c>
      <c r="N1067" s="28"/>
      <c r="O1067" s="26"/>
    </row>
    <row collapsed="false" customFormat="false" customHeight="false" hidden="false" ht="12.1" outlineLevel="0" r="1068">
      <c r="A1068" s="21" t="n">
        <v>45870.583506944</v>
      </c>
      <c r="B1068" s="22" t="s">
        <v>1063</v>
      </c>
      <c r="C1068" s="22" t="s">
        <v>1338</v>
      </c>
      <c r="D1068" s="22" t="s">
        <v>1063</v>
      </c>
      <c r="E1068" s="22" t="s">
        <v>1063</v>
      </c>
      <c r="F1068" s="22" t="s">
        <v>19</v>
      </c>
      <c r="G1068" s="23" t="n">
        <v>1</v>
      </c>
      <c r="H1068" s="24" t="n">
        <v>1</v>
      </c>
      <c r="I1068" s="24" t="n">
        <v>90</v>
      </c>
      <c r="J1068" s="24" t="n">
        <v>0</v>
      </c>
      <c r="K1068" s="24" t="n">
        <v>0</v>
      </c>
      <c r="L1068" s="24" t="n">
        <v>0</v>
      </c>
      <c r="M1068" s="6" t="s">
        <f>=I1068+J1068+K1068+L1068</f>
      </c>
      <c r="N1068" s="24"/>
      <c r="O1068" s="22"/>
    </row>
    <row collapsed="false" customFormat="false" customHeight="false" hidden="false" ht="12.1" outlineLevel="0" r="1069">
      <c r="A1069" s="25" t="n">
        <v>45870.602847222</v>
      </c>
      <c r="B1069" s="26" t="s">
        <v>1089</v>
      </c>
      <c r="C1069" s="26" t="s">
        <v>1166</v>
      </c>
      <c r="D1069" s="26" t="s">
        <v>1089</v>
      </c>
      <c r="E1069" s="26" t="s">
        <v>1089</v>
      </c>
      <c r="F1069" s="26" t="s">
        <v>19</v>
      </c>
      <c r="G1069" s="27" t="n">
        <v>1</v>
      </c>
      <c r="H1069" s="28" t="n">
        <v>-111</v>
      </c>
      <c r="I1069" s="28" t="n">
        <v>-111</v>
      </c>
      <c r="J1069" s="28" t="n">
        <v>0</v>
      </c>
      <c r="K1069" s="28" t="n">
        <v>0</v>
      </c>
      <c r="L1069" s="28" t="n">
        <v>0</v>
      </c>
      <c r="M1069" s="6" t="s">
        <f>=I1069+J1069+K1069+L1069</f>
      </c>
      <c r="N1069" s="28"/>
      <c r="O1069" s="26"/>
    </row>
    <row collapsed="false" customFormat="false" customHeight="false" hidden="false" ht="12.1" outlineLevel="0" r="1070">
      <c r="A1070" s="21" t="n">
        <v>45870.602847222</v>
      </c>
      <c r="B1070" s="22" t="s">
        <v>1063</v>
      </c>
      <c r="C1070" s="22" t="s">
        <v>1165</v>
      </c>
      <c r="D1070" s="22" t="s">
        <v>1063</v>
      </c>
      <c r="E1070" s="22" t="s">
        <v>1063</v>
      </c>
      <c r="F1070" s="22" t="s">
        <v>19</v>
      </c>
      <c r="G1070" s="23" t="n">
        <v>1</v>
      </c>
      <c r="H1070" s="24" t="n">
        <v>1</v>
      </c>
      <c r="I1070" s="24" t="n">
        <v>850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4"/>
      <c r="O1070" s="22"/>
    </row>
    <row collapsed="false" customFormat="false" customHeight="false" hidden="false" ht="12.1" outlineLevel="0" r="1071">
      <c r="A1071" s="21" t="n">
        <v>45873.425706019</v>
      </c>
      <c r="B1071" s="22" t="s">
        <v>1063</v>
      </c>
      <c r="C1071" s="22" t="s">
        <v>1283</v>
      </c>
      <c r="D1071" s="22" t="s">
        <v>1063</v>
      </c>
      <c r="E1071" s="22" t="s">
        <v>1063</v>
      </c>
      <c r="F1071" s="22" t="s">
        <v>19</v>
      </c>
      <c r="G1071" s="23" t="n">
        <v>1</v>
      </c>
      <c r="H1071" s="24" t="n">
        <v>1</v>
      </c>
      <c r="I1071" s="24" t="n">
        <v>239.36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4"/>
      <c r="O1071" s="22"/>
    </row>
    <row collapsed="false" customFormat="false" customHeight="false" hidden="false" ht="12.1" outlineLevel="0" r="1072">
      <c r="A1072" s="21" t="n">
        <v>45873.439282407</v>
      </c>
      <c r="B1072" s="22" t="s">
        <v>1063</v>
      </c>
      <c r="C1072" s="22" t="s">
        <v>1258</v>
      </c>
      <c r="D1072" s="22" t="s">
        <v>1063</v>
      </c>
      <c r="E1072" s="22" t="s">
        <v>1063</v>
      </c>
      <c r="F1072" s="22" t="s">
        <v>19</v>
      </c>
      <c r="G1072" s="23" t="n">
        <v>1</v>
      </c>
      <c r="H1072" s="24" t="n">
        <v>1</v>
      </c>
      <c r="I1072" s="24" t="n">
        <v>23.86</v>
      </c>
      <c r="J1072" s="24" t="n">
        <v>0</v>
      </c>
      <c r="K1072" s="24" t="n">
        <v>0</v>
      </c>
      <c r="L1072" s="24" t="n">
        <v>0</v>
      </c>
      <c r="M1072" s="6" t="s">
        <f>=I1072+J1072+K1072+L1072</f>
      </c>
      <c r="N1072" s="24"/>
      <c r="O1072" s="22"/>
    </row>
    <row collapsed="false" customFormat="false" customHeight="false" hidden="false" ht="12.1" outlineLevel="0" r="1073">
      <c r="A1073" s="25" t="n">
        <v>45873.636134259</v>
      </c>
      <c r="B1073" s="26" t="s">
        <v>1089</v>
      </c>
      <c r="C1073" s="26" t="s">
        <v>1141</v>
      </c>
      <c r="D1073" s="26" t="s">
        <v>1089</v>
      </c>
      <c r="E1073" s="26" t="s">
        <v>1089</v>
      </c>
      <c r="F1073" s="26" t="s">
        <v>19</v>
      </c>
      <c r="G1073" s="27" t="n">
        <v>1</v>
      </c>
      <c r="H1073" s="28" t="n">
        <v>-902</v>
      </c>
      <c r="I1073" s="28" t="n">
        <v>-902</v>
      </c>
      <c r="J1073" s="28" t="n">
        <v>0</v>
      </c>
      <c r="K1073" s="28" t="n">
        <v>0</v>
      </c>
      <c r="L1073" s="28" t="n">
        <v>0</v>
      </c>
      <c r="M1073" s="6" t="s">
        <f>=I1073+J1073+K1073+L1073</f>
      </c>
      <c r="N1073" s="28"/>
      <c r="O1073" s="26"/>
    </row>
    <row collapsed="false" customFormat="false" customHeight="false" hidden="false" ht="12.1" outlineLevel="0" r="1074">
      <c r="A1074" s="21" t="n">
        <v>45873.636134259</v>
      </c>
      <c r="B1074" s="22" t="s">
        <v>1063</v>
      </c>
      <c r="C1074" s="22" t="s">
        <v>1140</v>
      </c>
      <c r="D1074" s="22" t="s">
        <v>1063</v>
      </c>
      <c r="E1074" s="22" t="s">
        <v>1063</v>
      </c>
      <c r="F1074" s="22" t="s">
        <v>19</v>
      </c>
      <c r="G1074" s="23" t="n">
        <v>1</v>
      </c>
      <c r="H1074" s="24" t="n">
        <v>1</v>
      </c>
      <c r="I1074" s="24" t="n">
        <v>6968</v>
      </c>
      <c r="J1074" s="24" t="n">
        <v>0</v>
      </c>
      <c r="K1074" s="24" t="n">
        <v>0</v>
      </c>
      <c r="L1074" s="24" t="n">
        <v>0</v>
      </c>
      <c r="M1074" s="6" t="s">
        <f>=I1074+J1074+K1074+L1074</f>
      </c>
      <c r="N1074" s="24"/>
      <c r="O1074" s="22"/>
    </row>
    <row collapsed="false" customFormat="false" customHeight="false" hidden="false" ht="12.1" outlineLevel="0" r="1075">
      <c r="A1075" s="21" t="n">
        <v>45873.645856481</v>
      </c>
      <c r="B1075" s="22" t="s">
        <v>1063</v>
      </c>
      <c r="C1075" s="22" t="s">
        <v>1138</v>
      </c>
      <c r="D1075" s="22" t="s">
        <v>1063</v>
      </c>
      <c r="E1075" s="22" t="s">
        <v>1063</v>
      </c>
      <c r="F1075" s="22" t="s">
        <v>19</v>
      </c>
      <c r="G1075" s="23" t="n">
        <v>1</v>
      </c>
      <c r="H1075" s="24" t="n">
        <v>1</v>
      </c>
      <c r="I1075" s="24" t="n">
        <v>1045.2</v>
      </c>
      <c r="J1075" s="24" t="n">
        <v>0</v>
      </c>
      <c r="K1075" s="24" t="n">
        <v>0</v>
      </c>
      <c r="L1075" s="24" t="n">
        <v>0</v>
      </c>
      <c r="M1075" s="6" t="s">
        <f>=I1075+J1075+K1075+L1075</f>
      </c>
      <c r="N1075" s="24"/>
      <c r="O1075" s="22"/>
    </row>
    <row collapsed="false" customFormat="false" customHeight="false" hidden="false" ht="12.1" outlineLevel="0" r="1076">
      <c r="A1076" s="25" t="n">
        <v>45873.645856481</v>
      </c>
      <c r="B1076" s="26" t="s">
        <v>1089</v>
      </c>
      <c r="C1076" s="26" t="s">
        <v>1139</v>
      </c>
      <c r="D1076" s="26" t="s">
        <v>1089</v>
      </c>
      <c r="E1076" s="26" t="s">
        <v>1089</v>
      </c>
      <c r="F1076" s="26" t="s">
        <v>19</v>
      </c>
      <c r="G1076" s="27" t="n">
        <v>1</v>
      </c>
      <c r="H1076" s="28" t="n">
        <v>-134</v>
      </c>
      <c r="I1076" s="28" t="n">
        <v>-134</v>
      </c>
      <c r="J1076" s="28" t="n">
        <v>0</v>
      </c>
      <c r="K1076" s="28" t="n">
        <v>0</v>
      </c>
      <c r="L1076" s="28" t="n">
        <v>0</v>
      </c>
      <c r="M1076" s="6" t="s">
        <f>=I1076+J1076+K1076+L1076</f>
      </c>
      <c r="N1076" s="28"/>
      <c r="O1076" s="26"/>
    </row>
    <row collapsed="false" customFormat="false" customHeight="false" hidden="false" ht="12.1" outlineLevel="0" r="1077">
      <c r="A1077" s="21" t="n">
        <v>45874.428194444</v>
      </c>
      <c r="B1077" s="22" t="s">
        <v>1063</v>
      </c>
      <c r="C1077" s="22" t="s">
        <v>1119</v>
      </c>
      <c r="D1077" s="22" t="s">
        <v>1063</v>
      </c>
      <c r="E1077" s="22" t="s">
        <v>1063</v>
      </c>
      <c r="F1077" s="22" t="s">
        <v>19</v>
      </c>
      <c r="G1077" s="23" t="n">
        <v>1</v>
      </c>
      <c r="H1077" s="24" t="n">
        <v>1</v>
      </c>
      <c r="I1077" s="24" t="n">
        <v>53.1</v>
      </c>
      <c r="J1077" s="24" t="n">
        <v>0</v>
      </c>
      <c r="K1077" s="24" t="n">
        <v>0</v>
      </c>
      <c r="L1077" s="24" t="n">
        <v>0</v>
      </c>
      <c r="M1077" s="6" t="s">
        <f>=I1077+J1077+K1077+L1077</f>
      </c>
      <c r="N1077" s="24"/>
      <c r="O1077" s="22"/>
    </row>
    <row collapsed="false" customFormat="false" customHeight="false" hidden="false" ht="12.1" outlineLevel="0" r="1078">
      <c r="A1078" s="21" t="n">
        <v>45874.516701389</v>
      </c>
      <c r="B1078" s="22" t="s">
        <v>1063</v>
      </c>
      <c r="C1078" s="22" t="s">
        <v>1174</v>
      </c>
      <c r="D1078" s="22" t="s">
        <v>1063</v>
      </c>
      <c r="E1078" s="22" t="s">
        <v>1063</v>
      </c>
      <c r="F1078" s="22" t="s">
        <v>19</v>
      </c>
      <c r="G1078" s="23" t="n">
        <v>1</v>
      </c>
      <c r="H1078" s="24" t="n">
        <v>1</v>
      </c>
      <c r="I1078" s="24" t="n">
        <v>36.96</v>
      </c>
      <c r="J1078" s="24" t="n">
        <v>0</v>
      </c>
      <c r="K1078" s="24" t="n">
        <v>0</v>
      </c>
      <c r="L1078" s="24" t="n">
        <v>0</v>
      </c>
      <c r="M1078" s="6" t="s">
        <f>=I1078+J1078+K1078+L1078</f>
      </c>
      <c r="N1078" s="24"/>
      <c r="O1078" s="22"/>
    </row>
    <row collapsed="false" customFormat="false" customHeight="false" hidden="false" ht="12.1" outlineLevel="0" r="1079">
      <c r="A1079" s="21" t="n">
        <v>45875.465555556</v>
      </c>
      <c r="B1079" s="22" t="s">
        <v>1063</v>
      </c>
      <c r="C1079" s="22" t="s">
        <v>1329</v>
      </c>
      <c r="D1079" s="22" t="s">
        <v>1063</v>
      </c>
      <c r="E1079" s="22" t="s">
        <v>1063</v>
      </c>
      <c r="F1079" s="22" t="s">
        <v>19</v>
      </c>
      <c r="G1079" s="23" t="n">
        <v>1</v>
      </c>
      <c r="H1079" s="24" t="n">
        <v>1</v>
      </c>
      <c r="I1079" s="24" t="n">
        <v>3.28</v>
      </c>
      <c r="J1079" s="24" t="n">
        <v>0</v>
      </c>
      <c r="K1079" s="24" t="n">
        <v>0</v>
      </c>
      <c r="L1079" s="24" t="n">
        <v>0</v>
      </c>
      <c r="M1079" s="6" t="s">
        <f>=I1079+J1079+K1079+L1079</f>
      </c>
      <c r="N1079" s="24"/>
      <c r="O1079" s="22"/>
    </row>
    <row collapsed="false" customFormat="false" customHeight="false" hidden="false" ht="12.1" outlineLevel="0" r="1080">
      <c r="A1080" s="21" t="n">
        <v>45876.55650463</v>
      </c>
      <c r="B1080" s="22" t="s">
        <v>1063</v>
      </c>
      <c r="C1080" s="22" t="s">
        <v>1238</v>
      </c>
      <c r="D1080" s="22" t="s">
        <v>1063</v>
      </c>
      <c r="E1080" s="22" t="s">
        <v>1063</v>
      </c>
      <c r="F1080" s="22" t="s">
        <v>19</v>
      </c>
      <c r="G1080" s="23" t="n">
        <v>1</v>
      </c>
      <c r="H1080" s="24" t="n">
        <v>1</v>
      </c>
      <c r="I1080" s="24" t="n">
        <v>41.46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4"/>
      <c r="O1080" s="22"/>
    </row>
    <row collapsed="false" customFormat="false" customHeight="false" hidden="false" ht="12.1" outlineLevel="0" r="1081">
      <c r="A1081" s="21" t="n">
        <v>45876.571828704</v>
      </c>
      <c r="B1081" s="22" t="s">
        <v>1063</v>
      </c>
      <c r="C1081" s="22" t="s">
        <v>1318</v>
      </c>
      <c r="D1081" s="22" t="s">
        <v>1063</v>
      </c>
      <c r="E1081" s="22" t="s">
        <v>1063</v>
      </c>
      <c r="F1081" s="22" t="s">
        <v>19</v>
      </c>
      <c r="G1081" s="23" t="n">
        <v>1</v>
      </c>
      <c r="H1081" s="24" t="n">
        <v>1</v>
      </c>
      <c r="I1081" s="24" t="n">
        <v>19.11</v>
      </c>
      <c r="J1081" s="24" t="n">
        <v>0</v>
      </c>
      <c r="K1081" s="24" t="n">
        <v>0</v>
      </c>
      <c r="L1081" s="24" t="n">
        <v>0</v>
      </c>
      <c r="M1081" s="6" t="s">
        <f>=I1081+J1081+K1081+L1081</f>
      </c>
      <c r="N1081" s="24"/>
      <c r="O1081" s="22"/>
    </row>
    <row collapsed="false" customFormat="false" customHeight="false" hidden="false" ht="12.1" outlineLevel="0" r="1082">
      <c r="A1082" s="20" t="n">
        <v>45876.630150463</v>
      </c>
      <c r="B1082" s="16" t="s">
        <v>100</v>
      </c>
      <c r="C1082" s="16" t="s">
        <v>1253</v>
      </c>
      <c r="D1082" s="16" t="s">
        <v>912</v>
      </c>
      <c r="E1082" s="16" t="s">
        <v>85</v>
      </c>
      <c r="F1082" s="16" t="s">
        <v>19</v>
      </c>
      <c r="G1082" s="7" t="n">
        <v>1</v>
      </c>
      <c r="H1082" s="6" t="n">
        <v>90.524</v>
      </c>
      <c r="I1082" s="6" t="n">
        <v>-905.24</v>
      </c>
      <c r="J1082" s="6" t="n">
        <v>-21.81</v>
      </c>
      <c r="K1082" s="6" t="n">
        <v>-0.36</v>
      </c>
      <c r="L1082" s="6" t="n">
        <v>0</v>
      </c>
      <c r="M1082" s="6" t="s">
        <f>=I1082+J1082+K1082+L1082</f>
      </c>
      <c r="N1082" s="6"/>
      <c r="O1082" s="16"/>
    </row>
    <row collapsed="false" customFormat="false" customHeight="false" hidden="false" ht="12.1" outlineLevel="0" r="1083">
      <c r="A1083" s="20" t="n">
        <v>45876.630358796</v>
      </c>
      <c r="B1083" s="16" t="s">
        <v>115</v>
      </c>
      <c r="C1083" s="16" t="s">
        <v>1252</v>
      </c>
      <c r="D1083" s="16" t="s">
        <v>912</v>
      </c>
      <c r="E1083" s="16" t="s">
        <v>85</v>
      </c>
      <c r="F1083" s="16" t="s">
        <v>19</v>
      </c>
      <c r="G1083" s="7" t="n">
        <v>1</v>
      </c>
      <c r="H1083" s="6" t="n">
        <v>90.727</v>
      </c>
      <c r="I1083" s="6" t="n">
        <v>-907.27</v>
      </c>
      <c r="J1083" s="6" t="n">
        <v>-24.16</v>
      </c>
      <c r="K1083" s="6" t="n">
        <v>-0.36</v>
      </c>
      <c r="L1083" s="6" t="n">
        <v>0</v>
      </c>
      <c r="M1083" s="6" t="s">
        <f>=I1083+J1083+K1083+L1083</f>
      </c>
      <c r="N1083" s="6"/>
      <c r="O1083" s="16"/>
    </row>
    <row collapsed="false" customFormat="false" customHeight="false" hidden="false" ht="12.1" outlineLevel="0" r="1084">
      <c r="A1084" s="20" t="n">
        <v>45876.630833333</v>
      </c>
      <c r="B1084" s="16" t="s">
        <v>91</v>
      </c>
      <c r="C1084" s="16" t="s">
        <v>1167</v>
      </c>
      <c r="D1084" s="16" t="s">
        <v>912</v>
      </c>
      <c r="E1084" s="16" t="s">
        <v>85</v>
      </c>
      <c r="F1084" s="16" t="s">
        <v>19</v>
      </c>
      <c r="G1084" s="7" t="n">
        <v>1</v>
      </c>
      <c r="H1084" s="6" t="n">
        <v>76.447</v>
      </c>
      <c r="I1084" s="6" t="n">
        <v>-764.47</v>
      </c>
      <c r="J1084" s="6" t="n">
        <v>-17.45</v>
      </c>
      <c r="K1084" s="6" t="n">
        <v>-0.31</v>
      </c>
      <c r="L1084" s="6" t="n">
        <v>0</v>
      </c>
      <c r="M1084" s="6" t="s">
        <f>=I1084+J1084+K1084+L1084</f>
      </c>
      <c r="N1084" s="6"/>
      <c r="O1084" s="16"/>
    </row>
    <row collapsed="false" customFormat="false" customHeight="false" hidden="false" ht="12.1" outlineLevel="0" r="1085">
      <c r="A1085" s="20" t="n">
        <v>45876.631087963</v>
      </c>
      <c r="B1085" s="16" t="s">
        <v>121</v>
      </c>
      <c r="C1085" s="16" t="s">
        <v>1285</v>
      </c>
      <c r="D1085" s="16" t="s">
        <v>912</v>
      </c>
      <c r="E1085" s="16" t="s">
        <v>85</v>
      </c>
      <c r="F1085" s="16" t="s">
        <v>19</v>
      </c>
      <c r="G1085" s="7" t="n">
        <v>1</v>
      </c>
      <c r="H1085" s="6" t="n">
        <v>90.58</v>
      </c>
      <c r="I1085" s="6" t="n">
        <v>-905.8</v>
      </c>
      <c r="J1085" s="6" t="n">
        <v>-39.78</v>
      </c>
      <c r="K1085" s="6" t="n">
        <v>-0.36</v>
      </c>
      <c r="L1085" s="6" t="n">
        <v>0</v>
      </c>
      <c r="M1085" s="6" t="s">
        <f>=I1085+J1085+K1085+L1085</f>
      </c>
      <c r="N1085" s="6"/>
      <c r="O1085" s="16"/>
    </row>
    <row collapsed="false" customFormat="false" customHeight="false" hidden="false" ht="12.1" outlineLevel="0" r="1086">
      <c r="A1086" s="20" t="n">
        <v>45876.63125</v>
      </c>
      <c r="B1086" s="16" t="s">
        <v>97</v>
      </c>
      <c r="C1086" s="16" t="s">
        <v>1284</v>
      </c>
      <c r="D1086" s="16" t="s">
        <v>912</v>
      </c>
      <c r="E1086" s="16" t="s">
        <v>85</v>
      </c>
      <c r="F1086" s="16" t="s">
        <v>19</v>
      </c>
      <c r="G1086" s="7" t="n">
        <v>1</v>
      </c>
      <c r="H1086" s="6" t="n">
        <v>90.449</v>
      </c>
      <c r="I1086" s="6" t="n">
        <v>-904.49</v>
      </c>
      <c r="J1086" s="6" t="n">
        <v>-44.39</v>
      </c>
      <c r="K1086" s="6" t="n">
        <v>-0.36</v>
      </c>
      <c r="L1086" s="6" t="n">
        <v>0</v>
      </c>
      <c r="M1086" s="6" t="s">
        <f>=I1086+J1086+K1086+L1086</f>
      </c>
      <c r="N1086" s="6"/>
      <c r="O1086" s="16"/>
    </row>
    <row collapsed="false" customFormat="false" customHeight="false" hidden="false" ht="12.1" outlineLevel="0" r="1087">
      <c r="A1087" s="20" t="n">
        <v>45876.631550926</v>
      </c>
      <c r="B1087" s="16" t="s">
        <v>84</v>
      </c>
      <c r="C1087" s="16" t="s">
        <v>1065</v>
      </c>
      <c r="D1087" s="16" t="s">
        <v>912</v>
      </c>
      <c r="E1087" s="16" t="s">
        <v>85</v>
      </c>
      <c r="F1087" s="16" t="s">
        <v>19</v>
      </c>
      <c r="G1087" s="7" t="n">
        <v>1</v>
      </c>
      <c r="H1087" s="6" t="n">
        <v>60.205</v>
      </c>
      <c r="I1087" s="6" t="n">
        <v>-602.05</v>
      </c>
      <c r="J1087" s="6" t="n">
        <v>-1.5</v>
      </c>
      <c r="K1087" s="6" t="n">
        <v>-0.24</v>
      </c>
      <c r="L1087" s="6" t="n">
        <v>0</v>
      </c>
      <c r="M1087" s="6" t="s">
        <f>=I1087+J1087+K1087+L1087</f>
      </c>
      <c r="N1087" s="6"/>
      <c r="O1087" s="16"/>
    </row>
    <row collapsed="false" customFormat="false" customHeight="false" hidden="false" ht="12.1" outlineLevel="0" r="1088">
      <c r="A1088" s="20" t="n">
        <v>45876.631851852</v>
      </c>
      <c r="B1088" s="16" t="s">
        <v>130</v>
      </c>
      <c r="C1088" s="16" t="s">
        <v>1193</v>
      </c>
      <c r="D1088" s="16" t="s">
        <v>912</v>
      </c>
      <c r="E1088" s="16" t="s">
        <v>85</v>
      </c>
      <c r="F1088" s="16" t="s">
        <v>19</v>
      </c>
      <c r="G1088" s="7" t="n">
        <v>1</v>
      </c>
      <c r="H1088" s="6" t="n">
        <v>89</v>
      </c>
      <c r="I1088" s="6" t="n">
        <v>-890</v>
      </c>
      <c r="J1088" s="6" t="n">
        <v>-41.61</v>
      </c>
      <c r="K1088" s="6" t="n">
        <v>-0.36</v>
      </c>
      <c r="L1088" s="6" t="n">
        <v>0</v>
      </c>
      <c r="M1088" s="6" t="s">
        <f>=I1088+J1088+K1088+L1088</f>
      </c>
      <c r="N1088" s="6"/>
      <c r="O1088" s="16"/>
    </row>
    <row collapsed="false" customFormat="false" customHeight="false" hidden="false" ht="12.1" outlineLevel="0" r="1089">
      <c r="A1089" s="20" t="n">
        <v>45876.632060185</v>
      </c>
      <c r="B1089" s="16" t="s">
        <v>136</v>
      </c>
      <c r="C1089" s="16" t="s">
        <v>1066</v>
      </c>
      <c r="D1089" s="16" t="s">
        <v>912</v>
      </c>
      <c r="E1089" s="16" t="s">
        <v>85</v>
      </c>
      <c r="F1089" s="16" t="s">
        <v>19</v>
      </c>
      <c r="G1089" s="7" t="n">
        <v>1</v>
      </c>
      <c r="H1089" s="6" t="n">
        <v>68.652</v>
      </c>
      <c r="I1089" s="6" t="n">
        <v>-686.52</v>
      </c>
      <c r="J1089" s="6" t="n">
        <v>-15.69</v>
      </c>
      <c r="K1089" s="6" t="n">
        <v>-0.27</v>
      </c>
      <c r="L1089" s="6" t="n">
        <v>0</v>
      </c>
      <c r="M1089" s="6" t="s">
        <f>=I1089+J1089+K1089+L1089</f>
      </c>
      <c r="N1089" s="6"/>
      <c r="O1089" s="16"/>
    </row>
    <row collapsed="false" customFormat="false" customHeight="false" hidden="false" ht="12.1" outlineLevel="0" r="1090">
      <c r="A1090" s="20" t="n">
        <v>45876.632280093</v>
      </c>
      <c r="B1090" s="16" t="s">
        <v>127</v>
      </c>
      <c r="C1090" s="16" t="s">
        <v>1099</v>
      </c>
      <c r="D1090" s="16" t="s">
        <v>912</v>
      </c>
      <c r="E1090" s="16" t="s">
        <v>85</v>
      </c>
      <c r="F1090" s="16" t="s">
        <v>19</v>
      </c>
      <c r="G1090" s="7" t="n">
        <v>1</v>
      </c>
      <c r="H1090" s="6" t="n">
        <v>73.337</v>
      </c>
      <c r="I1090" s="6" t="n">
        <v>-733.37</v>
      </c>
      <c r="J1090" s="6" t="n">
        <v>-27</v>
      </c>
      <c r="K1090" s="6" t="n">
        <v>-0.29</v>
      </c>
      <c r="L1090" s="6" t="n">
        <v>0</v>
      </c>
      <c r="M1090" s="6" t="s">
        <f>=I1090+J1090+K1090+L1090</f>
      </c>
      <c r="N1090" s="6"/>
      <c r="O1090" s="16"/>
    </row>
    <row collapsed="false" customFormat="false" customHeight="false" hidden="false" ht="12.1" outlineLevel="0" r="1091">
      <c r="A1091" s="20" t="n">
        <v>45876.634803241</v>
      </c>
      <c r="B1091" s="16" t="s">
        <v>100</v>
      </c>
      <c r="C1091" s="16" t="s">
        <v>1253</v>
      </c>
      <c r="D1091" s="16" t="s">
        <v>912</v>
      </c>
      <c r="E1091" s="16" t="s">
        <v>85</v>
      </c>
      <c r="F1091" s="16" t="s">
        <v>19</v>
      </c>
      <c r="G1091" s="7" t="n">
        <v>1</v>
      </c>
      <c r="H1091" s="6" t="n">
        <v>90.489</v>
      </c>
      <c r="I1091" s="6" t="n">
        <v>-904.89</v>
      </c>
      <c r="J1091" s="6" t="n">
        <v>-21.81</v>
      </c>
      <c r="K1091" s="6" t="n">
        <v>-0.36</v>
      </c>
      <c r="L1091" s="6" t="n">
        <v>0</v>
      </c>
      <c r="M1091" s="6" t="s">
        <f>=I1091+J1091+K1091+L1091</f>
      </c>
      <c r="N1091" s="6"/>
      <c r="O1091" s="16"/>
    </row>
    <row collapsed="false" customFormat="false" customHeight="false" hidden="false" ht="12.1" outlineLevel="0" r="1092">
      <c r="A1092" s="20" t="n">
        <v>45876.634988426</v>
      </c>
      <c r="B1092" s="16" t="s">
        <v>115</v>
      </c>
      <c r="C1092" s="16" t="s">
        <v>1252</v>
      </c>
      <c r="D1092" s="16" t="s">
        <v>912</v>
      </c>
      <c r="E1092" s="16" t="s">
        <v>85</v>
      </c>
      <c r="F1092" s="16" t="s">
        <v>19</v>
      </c>
      <c r="G1092" s="7" t="n">
        <v>1</v>
      </c>
      <c r="H1092" s="6" t="n">
        <v>90.699</v>
      </c>
      <c r="I1092" s="6" t="n">
        <v>-906.99</v>
      </c>
      <c r="J1092" s="6" t="n">
        <v>-24.16</v>
      </c>
      <c r="K1092" s="6" t="n">
        <v>-0.36</v>
      </c>
      <c r="L1092" s="6" t="n">
        <v>0</v>
      </c>
      <c r="M1092" s="6" t="s">
        <f>=I1092+J1092+K1092+L1092</f>
      </c>
      <c r="N1092" s="6"/>
      <c r="O1092" s="16"/>
    </row>
    <row collapsed="false" customFormat="false" customHeight="false" hidden="false" ht="12.1" outlineLevel="0" r="1093">
      <c r="A1093" s="20" t="n">
        <v>45876.635162037</v>
      </c>
      <c r="B1093" s="16" t="s">
        <v>91</v>
      </c>
      <c r="C1093" s="16" t="s">
        <v>1167</v>
      </c>
      <c r="D1093" s="16" t="s">
        <v>912</v>
      </c>
      <c r="E1093" s="16" t="s">
        <v>85</v>
      </c>
      <c r="F1093" s="16" t="s">
        <v>19</v>
      </c>
      <c r="G1093" s="7" t="n">
        <v>1</v>
      </c>
      <c r="H1093" s="6" t="n">
        <v>76.391</v>
      </c>
      <c r="I1093" s="6" t="n">
        <v>-763.91</v>
      </c>
      <c r="J1093" s="6" t="n">
        <v>-17.45</v>
      </c>
      <c r="K1093" s="6" t="n">
        <v>-0.31</v>
      </c>
      <c r="L1093" s="6" t="n">
        <v>0</v>
      </c>
      <c r="M1093" s="6" t="s">
        <f>=I1093+J1093+K1093+L1093</f>
      </c>
      <c r="N1093" s="6"/>
      <c r="O1093" s="16"/>
    </row>
    <row collapsed="false" customFormat="false" customHeight="false" hidden="false" ht="12.1" outlineLevel="0" r="1094">
      <c r="A1094" s="20" t="n">
        <v>45876.6353125</v>
      </c>
      <c r="B1094" s="16" t="s">
        <v>121</v>
      </c>
      <c r="C1094" s="16" t="s">
        <v>1285</v>
      </c>
      <c r="D1094" s="16" t="s">
        <v>912</v>
      </c>
      <c r="E1094" s="16" t="s">
        <v>85</v>
      </c>
      <c r="F1094" s="16" t="s">
        <v>19</v>
      </c>
      <c r="G1094" s="7" t="n">
        <v>1</v>
      </c>
      <c r="H1094" s="6" t="n">
        <v>90.559</v>
      </c>
      <c r="I1094" s="6" t="n">
        <v>-905.59</v>
      </c>
      <c r="J1094" s="6" t="n">
        <v>-39.78</v>
      </c>
      <c r="K1094" s="6" t="n">
        <v>-0.36</v>
      </c>
      <c r="L1094" s="6" t="n">
        <v>0</v>
      </c>
      <c r="M1094" s="6" t="s">
        <f>=I1094+J1094+K1094+L1094</f>
      </c>
      <c r="N1094" s="6"/>
      <c r="O1094" s="16"/>
    </row>
    <row collapsed="false" customFormat="false" customHeight="false" hidden="false" ht="12.1" outlineLevel="0" r="1095">
      <c r="A1095" s="21" t="n">
        <v>45880.445462963</v>
      </c>
      <c r="B1095" s="22" t="s">
        <v>1063</v>
      </c>
      <c r="C1095" s="22" t="s">
        <v>1314</v>
      </c>
      <c r="D1095" s="22" t="s">
        <v>1063</v>
      </c>
      <c r="E1095" s="22" t="s">
        <v>1063</v>
      </c>
      <c r="F1095" s="22" t="s">
        <v>19</v>
      </c>
      <c r="G1095" s="23" t="n">
        <v>1</v>
      </c>
      <c r="H1095" s="24" t="n">
        <v>1</v>
      </c>
      <c r="I1095" s="24" t="n">
        <v>18.16</v>
      </c>
      <c r="J1095" s="24" t="n">
        <v>0</v>
      </c>
      <c r="K1095" s="24" t="n">
        <v>0</v>
      </c>
      <c r="L1095" s="24" t="n">
        <v>0</v>
      </c>
      <c r="M1095" s="6" t="s">
        <f>=I1095+J1095+K1095+L1095</f>
      </c>
      <c r="N1095" s="24"/>
      <c r="O1095" s="22"/>
    </row>
    <row collapsed="false" customFormat="false" customHeight="false" hidden="false" ht="12.1" outlineLevel="0" r="1096">
      <c r="A1096" s="21" t="n">
        <v>45883.470972222</v>
      </c>
      <c r="B1096" s="22" t="s">
        <v>1063</v>
      </c>
      <c r="C1096" s="22" t="s">
        <v>1214</v>
      </c>
      <c r="D1096" s="22" t="s">
        <v>1063</v>
      </c>
      <c r="E1096" s="22" t="s">
        <v>1063</v>
      </c>
      <c r="F1096" s="22" t="s">
        <v>19</v>
      </c>
      <c r="G1096" s="23" t="n">
        <v>1</v>
      </c>
      <c r="H1096" s="24" t="n">
        <v>1</v>
      </c>
      <c r="I1096" s="24" t="n">
        <v>4.67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4"/>
      <c r="O1096" s="22"/>
    </row>
    <row collapsed="false" customFormat="false" customHeight="false" hidden="false" ht="12.1" outlineLevel="0" r="1097">
      <c r="A1097" s="21" t="n">
        <v>45883.4996875</v>
      </c>
      <c r="B1097" s="22" t="s">
        <v>1063</v>
      </c>
      <c r="C1097" s="22" t="s">
        <v>1120</v>
      </c>
      <c r="D1097" s="22" t="s">
        <v>1063</v>
      </c>
      <c r="E1097" s="22" t="s">
        <v>1063</v>
      </c>
      <c r="F1097" s="22" t="s">
        <v>19</v>
      </c>
      <c r="G1097" s="23" t="n">
        <v>1</v>
      </c>
      <c r="H1097" s="24" t="n">
        <v>1</v>
      </c>
      <c r="I1097" s="24" t="n">
        <v>663.1</v>
      </c>
      <c r="J1097" s="24" t="n">
        <v>0</v>
      </c>
      <c r="K1097" s="24" t="n">
        <v>0</v>
      </c>
      <c r="L1097" s="24" t="n">
        <v>0</v>
      </c>
      <c r="M1097" s="6" t="s">
        <f>=I1097+J1097+K1097+L1097</f>
      </c>
      <c r="N1097" s="24"/>
      <c r="O1097" s="22"/>
    </row>
    <row collapsed="false" customFormat="false" customHeight="false" hidden="false" ht="12.1" outlineLevel="0" r="1098">
      <c r="A1098" s="21" t="n">
        <v>45887.534490741</v>
      </c>
      <c r="B1098" s="22" t="s">
        <v>1063</v>
      </c>
      <c r="C1098" s="22" t="s">
        <v>1286</v>
      </c>
      <c r="D1098" s="22" t="s">
        <v>1063</v>
      </c>
      <c r="E1098" s="22" t="s">
        <v>1063</v>
      </c>
      <c r="F1098" s="22" t="s">
        <v>19</v>
      </c>
      <c r="G1098" s="23" t="n">
        <v>1</v>
      </c>
      <c r="H1098" s="24" t="n">
        <v>1</v>
      </c>
      <c r="I1098" s="24" t="n">
        <v>207.44</v>
      </c>
      <c r="J1098" s="24" t="n">
        <v>0</v>
      </c>
      <c r="K1098" s="24" t="n">
        <v>0</v>
      </c>
      <c r="L1098" s="24" t="n">
        <v>0</v>
      </c>
      <c r="M1098" s="6" t="s">
        <f>=I1098+J1098+K1098+L1098</f>
      </c>
      <c r="N1098" s="24"/>
      <c r="O1098" s="22"/>
    </row>
    <row collapsed="false" customFormat="false" customHeight="false" hidden="false" ht="12.1" outlineLevel="0" r="1099">
      <c r="A1099" s="21" t="n">
        <v>45887.655173611</v>
      </c>
      <c r="B1099" s="22" t="s">
        <v>1063</v>
      </c>
      <c r="C1099" s="22" t="s">
        <v>1173</v>
      </c>
      <c r="D1099" s="22" t="s">
        <v>1063</v>
      </c>
      <c r="E1099" s="22" t="s">
        <v>1063</v>
      </c>
      <c r="F1099" s="22" t="s">
        <v>19</v>
      </c>
      <c r="G1099" s="23" t="n">
        <v>1</v>
      </c>
      <c r="H1099" s="24" t="n">
        <v>1</v>
      </c>
      <c r="I1099" s="24" t="n">
        <v>51.61</v>
      </c>
      <c r="J1099" s="24" t="n">
        <v>0</v>
      </c>
      <c r="K1099" s="24" t="n">
        <v>0</v>
      </c>
      <c r="L1099" s="24" t="n">
        <v>0</v>
      </c>
      <c r="M1099" s="6" t="s">
        <f>=I1099+J1099+K1099+L1099</f>
      </c>
      <c r="N1099" s="24"/>
      <c r="O1099" s="22"/>
    </row>
    <row collapsed="false" customFormat="false" customHeight="false" hidden="false" ht="12.1" outlineLevel="0" r="1100">
      <c r="A1100" s="21" t="n">
        <v>45888.468784722</v>
      </c>
      <c r="B1100" s="22" t="s">
        <v>1063</v>
      </c>
      <c r="C1100" s="22" t="s">
        <v>1303</v>
      </c>
      <c r="D1100" s="22" t="s">
        <v>1063</v>
      </c>
      <c r="E1100" s="22" t="s">
        <v>1063</v>
      </c>
      <c r="F1100" s="22" t="s">
        <v>19</v>
      </c>
      <c r="G1100" s="23" t="n">
        <v>1</v>
      </c>
      <c r="H1100" s="24" t="n">
        <v>1</v>
      </c>
      <c r="I1100" s="24" t="n">
        <v>17.87</v>
      </c>
      <c r="J1100" s="24" t="n">
        <v>0</v>
      </c>
      <c r="K1100" s="24" t="n">
        <v>0</v>
      </c>
      <c r="L1100" s="24" t="n">
        <v>0</v>
      </c>
      <c r="M1100" s="6" t="s">
        <f>=I1100+J1100+K1100+L1100</f>
      </c>
      <c r="N1100" s="24"/>
      <c r="O1100" s="22"/>
    </row>
    <row collapsed="false" customFormat="false" customHeight="false" hidden="false" ht="12.1" outlineLevel="0" r="1101">
      <c r="A1101" s="21" t="n">
        <v>45890.517685185</v>
      </c>
      <c r="B1101" s="22" t="s">
        <v>1063</v>
      </c>
      <c r="C1101" s="22" t="s">
        <v>1322</v>
      </c>
      <c r="D1101" s="22" t="s">
        <v>1063</v>
      </c>
      <c r="E1101" s="22" t="s">
        <v>1063</v>
      </c>
      <c r="F1101" s="22" t="s">
        <v>19</v>
      </c>
      <c r="G1101" s="23" t="n">
        <v>1</v>
      </c>
      <c r="H1101" s="24" t="n">
        <v>1</v>
      </c>
      <c r="I1101" s="24" t="n">
        <v>20.96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4"/>
      <c r="O1101" s="22"/>
    </row>
    <row collapsed="false" customFormat="false" customHeight="false" hidden="false" ht="12.1" outlineLevel="0" r="1102">
      <c r="A1102" s="21" t="n">
        <v>45891.414583333</v>
      </c>
      <c r="B1102" s="22" t="s">
        <v>1063</v>
      </c>
      <c r="C1102" s="22" t="s">
        <v>1142</v>
      </c>
      <c r="D1102" s="22" t="s">
        <v>1063</v>
      </c>
      <c r="E1102" s="22" t="s">
        <v>1063</v>
      </c>
      <c r="F1102" s="22" t="s">
        <v>19</v>
      </c>
      <c r="G1102" s="23" t="n">
        <v>1</v>
      </c>
      <c r="H1102" s="24" t="n">
        <v>1</v>
      </c>
      <c r="I1102" s="24" t="n">
        <v>6.5</v>
      </c>
      <c r="J1102" s="24" t="n">
        <v>0</v>
      </c>
      <c r="K1102" s="24" t="n">
        <v>0</v>
      </c>
      <c r="L1102" s="24" t="n">
        <v>0</v>
      </c>
      <c r="M1102" s="6" t="s">
        <f>=I1102+J1102+K1102+L1102</f>
      </c>
      <c r="N1102" s="24"/>
      <c r="O1102" s="22"/>
    </row>
    <row collapsed="false" customFormat="false" customHeight="false" hidden="false" ht="12.1" outlineLevel="0" r="1103">
      <c r="A1103" s="21" t="n">
        <v>45891.577939815</v>
      </c>
      <c r="B1103" s="22" t="s">
        <v>1063</v>
      </c>
      <c r="C1103" s="22" t="s">
        <v>1251</v>
      </c>
      <c r="D1103" s="22" t="s">
        <v>1063</v>
      </c>
      <c r="E1103" s="22" t="s">
        <v>1063</v>
      </c>
      <c r="F1103" s="22" t="s">
        <v>19</v>
      </c>
      <c r="G1103" s="23" t="n">
        <v>1</v>
      </c>
      <c r="H1103" s="24" t="n">
        <v>1</v>
      </c>
      <c r="I1103" s="24" t="n">
        <v>11.18</v>
      </c>
      <c r="J1103" s="24" t="n">
        <v>0</v>
      </c>
      <c r="K1103" s="24" t="n">
        <v>0</v>
      </c>
      <c r="L1103" s="24" t="n">
        <v>0</v>
      </c>
      <c r="M1103" s="6" t="s">
        <f>=I1103+J1103+K1103+L1103</f>
      </c>
      <c r="N1103" s="24"/>
      <c r="O1103" s="22"/>
    </row>
    <row collapsed="false" customFormat="false" customHeight="false" hidden="false" ht="12.1" outlineLevel="0" r="1104">
      <c r="A1104" s="21" t="n">
        <v>45894.471168981</v>
      </c>
      <c r="B1104" s="22" t="s">
        <v>1063</v>
      </c>
      <c r="C1104" s="22" t="s">
        <v>1287</v>
      </c>
      <c r="D1104" s="22" t="s">
        <v>1063</v>
      </c>
      <c r="E1104" s="22" t="s">
        <v>1063</v>
      </c>
      <c r="F1104" s="22" t="s">
        <v>19</v>
      </c>
      <c r="G1104" s="23" t="n">
        <v>1</v>
      </c>
      <c r="H1104" s="24" t="n">
        <v>1</v>
      </c>
      <c r="I1104" s="24" t="n">
        <v>134.64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4"/>
      <c r="O1104" s="22"/>
    </row>
    <row collapsed="false" customFormat="false" customHeight="false" hidden="false" ht="12.1" outlineLevel="0" r="1105">
      <c r="A1105" s="21" t="n">
        <v>45895.587523148</v>
      </c>
      <c r="B1105" s="22" t="s">
        <v>1063</v>
      </c>
      <c r="C1105" s="22" t="s">
        <v>1235</v>
      </c>
      <c r="D1105" s="22" t="s">
        <v>1063</v>
      </c>
      <c r="E1105" s="22" t="s">
        <v>1063</v>
      </c>
      <c r="F1105" s="22" t="s">
        <v>19</v>
      </c>
      <c r="G1105" s="23" t="n">
        <v>1</v>
      </c>
      <c r="H1105" s="24" t="n">
        <v>1</v>
      </c>
      <c r="I1105" s="24" t="n">
        <v>34.68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4"/>
      <c r="O1105" s="22"/>
    </row>
    <row collapsed="false" customFormat="false" customHeight="false" hidden="false" ht="12.1" outlineLevel="0" r="1106">
      <c r="A1106" s="21" t="n">
        <v>45896.49287037</v>
      </c>
      <c r="B1106" s="22" t="s">
        <v>1063</v>
      </c>
      <c r="C1106" s="22" t="s">
        <v>1261</v>
      </c>
      <c r="D1106" s="22" t="s">
        <v>1063</v>
      </c>
      <c r="E1106" s="22" t="s">
        <v>1063</v>
      </c>
      <c r="F1106" s="22" t="s">
        <v>19</v>
      </c>
      <c r="G1106" s="23" t="n">
        <v>1</v>
      </c>
      <c r="H1106" s="24" t="n">
        <v>1</v>
      </c>
      <c r="I1106" s="24" t="n">
        <v>74.79</v>
      </c>
      <c r="J1106" s="24" t="n">
        <v>0</v>
      </c>
      <c r="K1106" s="24" t="n">
        <v>0</v>
      </c>
      <c r="L1106" s="24" t="n">
        <v>0</v>
      </c>
      <c r="M1106" s="6" t="s">
        <f>=I1106+J1106+K1106+L1106</f>
      </c>
      <c r="N1106" s="24"/>
      <c r="O1106" s="22"/>
    </row>
    <row collapsed="false" customFormat="false" customHeight="false" hidden="false" ht="12.1" outlineLevel="0" r="1107">
      <c r="A1107" s="21" t="n">
        <v>45897.41662037</v>
      </c>
      <c r="B1107" s="22" t="s">
        <v>1063</v>
      </c>
      <c r="C1107" s="22" t="s">
        <v>1323</v>
      </c>
      <c r="D1107" s="22" t="s">
        <v>1063</v>
      </c>
      <c r="E1107" s="22" t="s">
        <v>1063</v>
      </c>
      <c r="F1107" s="22" t="s">
        <v>19</v>
      </c>
      <c r="G1107" s="23" t="n">
        <v>1</v>
      </c>
      <c r="H1107" s="24" t="n">
        <v>1</v>
      </c>
      <c r="I1107" s="24" t="n">
        <v>19.48</v>
      </c>
      <c r="J1107" s="24" t="n">
        <v>0</v>
      </c>
      <c r="K1107" s="24" t="n">
        <v>0</v>
      </c>
      <c r="L1107" s="24" t="n">
        <v>0</v>
      </c>
      <c r="M1107" s="6" t="s">
        <f>=I1107+J1107+K1107+L1107</f>
      </c>
      <c r="N1107" s="24"/>
      <c r="O1107" s="22"/>
    </row>
    <row collapsed="false" customFormat="false" customHeight="false" hidden="false" ht="12.1" outlineLevel="0" r="1108">
      <c r="A1108" s="25" t="n">
        <v>45897.573391204</v>
      </c>
      <c r="B1108" s="26" t="s">
        <v>1089</v>
      </c>
      <c r="C1108" s="26" t="s">
        <v>1190</v>
      </c>
      <c r="D1108" s="26" t="s">
        <v>1089</v>
      </c>
      <c r="E1108" s="26" t="s">
        <v>1089</v>
      </c>
      <c r="F1108" s="26" t="s">
        <v>19</v>
      </c>
      <c r="G1108" s="27" t="n">
        <v>1</v>
      </c>
      <c r="H1108" s="28" t="n">
        <v>-16</v>
      </c>
      <c r="I1108" s="28" t="n">
        <v>-16</v>
      </c>
      <c r="J1108" s="28" t="n">
        <v>0</v>
      </c>
      <c r="K1108" s="28" t="n">
        <v>0</v>
      </c>
      <c r="L1108" s="28" t="n">
        <v>0</v>
      </c>
      <c r="M1108" s="6" t="s">
        <f>=I1108+J1108+K1108+L1108</f>
      </c>
      <c r="N1108" s="28"/>
      <c r="O1108" s="26"/>
    </row>
    <row collapsed="false" customFormat="false" customHeight="false" hidden="false" ht="12.1" outlineLevel="0" r="1109">
      <c r="A1109" s="21" t="n">
        <v>45897.573391204</v>
      </c>
      <c r="B1109" s="22" t="s">
        <v>1063</v>
      </c>
      <c r="C1109" s="22" t="s">
        <v>1189</v>
      </c>
      <c r="D1109" s="22" t="s">
        <v>1063</v>
      </c>
      <c r="E1109" s="22" t="s">
        <v>1063</v>
      </c>
      <c r="F1109" s="22" t="s">
        <v>19</v>
      </c>
      <c r="G1109" s="23" t="n">
        <v>1</v>
      </c>
      <c r="H1109" s="24" t="n">
        <v>1</v>
      </c>
      <c r="I1109" s="24" t="n">
        <v>135.5</v>
      </c>
      <c r="J1109" s="24" t="n">
        <v>0</v>
      </c>
      <c r="K1109" s="24" t="n">
        <v>0</v>
      </c>
      <c r="L1109" s="24" t="n">
        <v>0</v>
      </c>
      <c r="M1109" s="6" t="s">
        <f>=I1109+J1109+K1109+L1109</f>
      </c>
      <c r="N1109" s="24"/>
      <c r="O1109" s="22"/>
    </row>
    <row collapsed="false" customFormat="false" customHeight="false" hidden="false" ht="12.1" outlineLevel="0" r="1110">
      <c r="A1110" s="21" t="n">
        <v>45901.520289352</v>
      </c>
      <c r="B1110" s="22" t="s">
        <v>1063</v>
      </c>
      <c r="C1110" s="22" t="s">
        <v>1105</v>
      </c>
      <c r="D1110" s="22" t="s">
        <v>1063</v>
      </c>
      <c r="E1110" s="22" t="s">
        <v>1063</v>
      </c>
      <c r="F1110" s="22" t="s">
        <v>19</v>
      </c>
      <c r="G1110" s="23" t="n">
        <v>1</v>
      </c>
      <c r="H1110" s="24" t="n">
        <v>1</v>
      </c>
      <c r="I1110" s="24" t="n">
        <v>24.81</v>
      </c>
      <c r="J1110" s="24" t="n">
        <v>0</v>
      </c>
      <c r="K1110" s="24" t="n">
        <v>0</v>
      </c>
      <c r="L1110" s="24" t="n">
        <v>0</v>
      </c>
      <c r="M1110" s="6" t="s">
        <f>=I1110+J1110+K1110+L1110</f>
      </c>
      <c r="N1110" s="24"/>
      <c r="O1110" s="22"/>
    </row>
    <row collapsed="false" customFormat="false" customHeight="false" hidden="false" ht="12.1" outlineLevel="0" r="1111">
      <c r="A1111" s="21" t="n">
        <v>45901.754675926</v>
      </c>
      <c r="B1111" s="22" t="s">
        <v>1056</v>
      </c>
      <c r="C1111" s="22" t="s">
        <v>350</v>
      </c>
      <c r="D1111" s="22" t="s">
        <v>1056</v>
      </c>
      <c r="E1111" s="22" t="s">
        <v>1056</v>
      </c>
      <c r="F1111" s="22" t="s">
        <v>19</v>
      </c>
      <c r="G1111" s="23" t="n">
        <v>1</v>
      </c>
      <c r="H1111" s="24" t="n">
        <v>1</v>
      </c>
      <c r="I1111" s="24" t="n">
        <v>5000</v>
      </c>
      <c r="J1111" s="24" t="n">
        <v>0</v>
      </c>
      <c r="K1111" s="24" t="n">
        <v>0</v>
      </c>
      <c r="L1111" s="24" t="n">
        <v>0</v>
      </c>
      <c r="M1111" s="6" t="s">
        <f>=I1111+J1111+K1111+L1111</f>
      </c>
      <c r="N1111" s="24"/>
      <c r="O1111" s="22"/>
    </row>
    <row collapsed="false" customFormat="false" customHeight="false" hidden="false" ht="12.1" outlineLevel="0" r="1112">
      <c r="A1112" s="21" t="n">
        <v>45901.757395833</v>
      </c>
      <c r="B1112" s="22" t="s">
        <v>1056</v>
      </c>
      <c r="C1112" s="22" t="s">
        <v>350</v>
      </c>
      <c r="D1112" s="22" t="s">
        <v>1056</v>
      </c>
      <c r="E1112" s="22" t="s">
        <v>1056</v>
      </c>
      <c r="F1112" s="22" t="s">
        <v>19</v>
      </c>
      <c r="G1112" s="23" t="n">
        <v>1</v>
      </c>
      <c r="H1112" s="24" t="n">
        <v>1</v>
      </c>
      <c r="I1112" s="24" t="n">
        <v>6820</v>
      </c>
      <c r="J1112" s="24" t="n">
        <v>0</v>
      </c>
      <c r="K1112" s="24" t="n">
        <v>0</v>
      </c>
      <c r="L1112" s="24" t="n">
        <v>0</v>
      </c>
      <c r="M1112" s="6" t="s">
        <f>=I1112+J1112+K1112+L1112</f>
      </c>
      <c r="N1112" s="24"/>
      <c r="O1112" s="22"/>
    </row>
    <row collapsed="false" customFormat="false" customHeight="false" hidden="false" ht="12.1" outlineLevel="0" r="1113">
      <c r="A1113" s="20" t="n">
        <v>45901.759583333</v>
      </c>
      <c r="B1113" s="16" t="s">
        <v>16</v>
      </c>
      <c r="C1113" s="16" t="s">
        <v>1112</v>
      </c>
      <c r="D1113" s="16" t="s">
        <v>912</v>
      </c>
      <c r="E1113" s="16" t="s">
        <v>17</v>
      </c>
      <c r="F1113" s="16" t="s">
        <v>19</v>
      </c>
      <c r="G1113" s="7" t="n">
        <v>10</v>
      </c>
      <c r="H1113" s="6" t="n">
        <v>309.16</v>
      </c>
      <c r="I1113" s="6" t="n">
        <v>-3091.6</v>
      </c>
      <c r="J1113" s="6" t="n">
        <v>0</v>
      </c>
      <c r="K1113" s="6" t="n">
        <v>-1.24</v>
      </c>
      <c r="L1113" s="6" t="n">
        <v>0</v>
      </c>
      <c r="M1113" s="6" t="s">
        <f>=I1113+J1113+K1113+L1113</f>
      </c>
      <c r="N1113" s="6"/>
      <c r="O1113" s="16"/>
    </row>
    <row collapsed="false" customFormat="false" customHeight="false" hidden="false" ht="12.1" outlineLevel="0" r="1114">
      <c r="A1114" s="20" t="n">
        <v>45901.759791667</v>
      </c>
      <c r="B1114" s="16" t="s">
        <v>21</v>
      </c>
      <c r="C1114" s="16" t="s">
        <v>1336</v>
      </c>
      <c r="D1114" s="16" t="s">
        <v>912</v>
      </c>
      <c r="E1114" s="16" t="s">
        <v>17</v>
      </c>
      <c r="F1114" s="16" t="s">
        <v>19</v>
      </c>
      <c r="G1114" s="7" t="n">
        <v>1</v>
      </c>
      <c r="H1114" s="6" t="n">
        <v>4295.5</v>
      </c>
      <c r="I1114" s="6" t="n">
        <v>-4295.5</v>
      </c>
      <c r="J1114" s="6" t="n">
        <v>0</v>
      </c>
      <c r="K1114" s="6" t="n">
        <v>-1.72</v>
      </c>
      <c r="L1114" s="6" t="n">
        <v>0</v>
      </c>
      <c r="M1114" s="6" t="s">
        <f>=I1114+J1114+K1114+L1114</f>
      </c>
      <c r="N1114" s="6"/>
      <c r="O1114" s="16"/>
    </row>
    <row collapsed="false" customFormat="false" customHeight="false" hidden="false" ht="12.1" outlineLevel="0" r="1115">
      <c r="A1115" s="20" t="n">
        <v>45901.762048611</v>
      </c>
      <c r="B1115" s="16" t="s">
        <v>115</v>
      </c>
      <c r="C1115" s="16" t="s">
        <v>1252</v>
      </c>
      <c r="D1115" s="16" t="s">
        <v>912</v>
      </c>
      <c r="E1115" s="16" t="s">
        <v>85</v>
      </c>
      <c r="F1115" s="16" t="s">
        <v>19</v>
      </c>
      <c r="G1115" s="7" t="n">
        <v>1</v>
      </c>
      <c r="H1115" s="6" t="n">
        <v>91.299</v>
      </c>
      <c r="I1115" s="6" t="n">
        <v>-912.99</v>
      </c>
      <c r="J1115" s="6" t="n">
        <v>-32.55</v>
      </c>
      <c r="K1115" s="6" t="n">
        <v>-0.37</v>
      </c>
      <c r="L1115" s="6" t="n">
        <v>0</v>
      </c>
      <c r="M1115" s="6" t="s">
        <f>=I1115+J1115+K1115+L1115</f>
      </c>
      <c r="N1115" s="6"/>
      <c r="O1115" s="16"/>
    </row>
    <row collapsed="false" customFormat="false" customHeight="false" hidden="false" ht="12.1" outlineLevel="0" r="1116">
      <c r="A1116" s="20" t="n">
        <v>45901.762268519</v>
      </c>
      <c r="B1116" s="16" t="s">
        <v>100</v>
      </c>
      <c r="C1116" s="16" t="s">
        <v>1253</v>
      </c>
      <c r="D1116" s="16" t="s">
        <v>912</v>
      </c>
      <c r="E1116" s="16" t="s">
        <v>85</v>
      </c>
      <c r="F1116" s="16" t="s">
        <v>19</v>
      </c>
      <c r="G1116" s="7" t="n">
        <v>1</v>
      </c>
      <c r="H1116" s="6" t="n">
        <v>91.19</v>
      </c>
      <c r="I1116" s="6" t="n">
        <v>-911.9</v>
      </c>
      <c r="J1116" s="6" t="n">
        <v>-30.2</v>
      </c>
      <c r="K1116" s="6" t="n">
        <v>-0.36</v>
      </c>
      <c r="L1116" s="6" t="n">
        <v>0</v>
      </c>
      <c r="M1116" s="6" t="s">
        <f>=I1116+J1116+K1116+L1116</f>
      </c>
      <c r="N1116" s="6"/>
      <c r="O1116" s="16"/>
    </row>
    <row collapsed="false" customFormat="false" customHeight="false" hidden="false" ht="12.1" outlineLevel="0" r="1117">
      <c r="A1117" s="20" t="n">
        <v>45901.762465278</v>
      </c>
      <c r="B1117" s="16" t="s">
        <v>97</v>
      </c>
      <c r="C1117" s="16" t="s">
        <v>1284</v>
      </c>
      <c r="D1117" s="16" t="s">
        <v>912</v>
      </c>
      <c r="E1117" s="16" t="s">
        <v>85</v>
      </c>
      <c r="F1117" s="16" t="s">
        <v>19</v>
      </c>
      <c r="G1117" s="7" t="n">
        <v>1</v>
      </c>
      <c r="H1117" s="6" t="n">
        <v>90.9</v>
      </c>
      <c r="I1117" s="6" t="n">
        <v>-909</v>
      </c>
      <c r="J1117" s="6" t="n">
        <v>-52.61</v>
      </c>
      <c r="K1117" s="6" t="n">
        <v>-0.36</v>
      </c>
      <c r="L1117" s="6" t="n">
        <v>0</v>
      </c>
      <c r="M1117" s="6" t="s">
        <f>=I1117+J1117+K1117+L1117</f>
      </c>
      <c r="N1117" s="6"/>
      <c r="O1117" s="16"/>
    </row>
    <row collapsed="false" customFormat="false" customHeight="false" hidden="false" ht="12.1" outlineLevel="0" r="1118">
      <c r="A1118" s="20" t="n">
        <v>45901.762638889</v>
      </c>
      <c r="B1118" s="16" t="s">
        <v>121</v>
      </c>
      <c r="C1118" s="16" t="s">
        <v>1285</v>
      </c>
      <c r="D1118" s="16" t="s">
        <v>912</v>
      </c>
      <c r="E1118" s="16" t="s">
        <v>85</v>
      </c>
      <c r="F1118" s="16" t="s">
        <v>19</v>
      </c>
      <c r="G1118" s="7" t="n">
        <v>1</v>
      </c>
      <c r="H1118" s="6" t="n">
        <v>91.145</v>
      </c>
      <c r="I1118" s="6" t="n">
        <v>-911.45</v>
      </c>
      <c r="J1118" s="6" t="n">
        <v>-48</v>
      </c>
      <c r="K1118" s="6" t="n">
        <v>-0.36</v>
      </c>
      <c r="L1118" s="6" t="n">
        <v>0</v>
      </c>
      <c r="M1118" s="6" t="s">
        <f>=I1118+J1118+K1118+L1118</f>
      </c>
      <c r="N1118" s="6"/>
      <c r="O1118" s="16"/>
    </row>
    <row collapsed="false" customFormat="false" customHeight="false" hidden="false" ht="12.1" outlineLevel="0" r="1119">
      <c r="A1119" s="20" t="n">
        <v>45901.76349537</v>
      </c>
      <c r="B1119" s="16" t="s">
        <v>145</v>
      </c>
      <c r="C1119" s="16" t="s">
        <v>1339</v>
      </c>
      <c r="D1119" s="16" t="s">
        <v>912</v>
      </c>
      <c r="E1119" s="16" t="s">
        <v>85</v>
      </c>
      <c r="F1119" s="16" t="s">
        <v>19</v>
      </c>
      <c r="G1119" s="7" t="n">
        <v>1</v>
      </c>
      <c r="H1119" s="6" t="n">
        <v>90.561</v>
      </c>
      <c r="I1119" s="6" t="n">
        <v>-905.61</v>
      </c>
      <c r="J1119" s="6" t="n">
        <v>-22.69</v>
      </c>
      <c r="K1119" s="6" t="n">
        <v>-0.36</v>
      </c>
      <c r="L1119" s="6" t="n">
        <v>0</v>
      </c>
      <c r="M1119" s="6" t="s">
        <f>=I1119+J1119+K1119+L1119</f>
      </c>
      <c r="N1119" s="6"/>
      <c r="O1119" s="16"/>
    </row>
    <row collapsed="false" customFormat="false" customHeight="false" hidden="false" ht="12.1" outlineLevel="0" r="1120">
      <c r="A1120" s="20" t="n">
        <v>45901.763958333</v>
      </c>
      <c r="B1120" s="16" t="s">
        <v>91</v>
      </c>
      <c r="C1120" s="16" t="s">
        <v>1167</v>
      </c>
      <c r="D1120" s="16" t="s">
        <v>912</v>
      </c>
      <c r="E1120" s="16" t="s">
        <v>85</v>
      </c>
      <c r="F1120" s="16" t="s">
        <v>19</v>
      </c>
      <c r="G1120" s="7" t="n">
        <v>1</v>
      </c>
      <c r="H1120" s="6" t="n">
        <v>77.38</v>
      </c>
      <c r="I1120" s="6" t="n">
        <v>-773.8</v>
      </c>
      <c r="J1120" s="6" t="n">
        <v>-24.17</v>
      </c>
      <c r="K1120" s="6" t="n">
        <v>-0.31</v>
      </c>
      <c r="L1120" s="6" t="n">
        <v>0</v>
      </c>
      <c r="M1120" s="6" t="s">
        <f>=I1120+J1120+K1120+L1120</f>
      </c>
      <c r="N1120" s="6"/>
      <c r="O1120" s="16"/>
    </row>
    <row collapsed="false" customFormat="false" customHeight="false" hidden="false" ht="12.1" outlineLevel="0" r="1121">
      <c r="A1121" s="21" t="n">
        <v>45902.501157407</v>
      </c>
      <c r="B1121" s="22" t="s">
        <v>1063</v>
      </c>
      <c r="C1121" s="22" t="s">
        <v>1207</v>
      </c>
      <c r="D1121" s="22" t="s">
        <v>1063</v>
      </c>
      <c r="E1121" s="22" t="s">
        <v>1063</v>
      </c>
      <c r="F1121" s="22" t="s">
        <v>19</v>
      </c>
      <c r="G1121" s="23" t="n">
        <v>1</v>
      </c>
      <c r="H1121" s="24" t="n">
        <v>1</v>
      </c>
      <c r="I1121" s="24" t="n">
        <v>17.73</v>
      </c>
      <c r="J1121" s="24" t="n">
        <v>0</v>
      </c>
      <c r="K1121" s="24" t="n">
        <v>0</v>
      </c>
      <c r="L1121" s="24" t="n">
        <v>0</v>
      </c>
      <c r="M1121" s="6" t="s">
        <f>=I1121+J1121+K1121+L1121</f>
      </c>
      <c r="N1121" s="24"/>
      <c r="O1121" s="22"/>
    </row>
    <row collapsed="false" customFormat="false" customHeight="false" hidden="false" ht="12.1" outlineLevel="0" r="1122">
      <c r="A1122" s="21" t="n">
        <v>45902.5684375</v>
      </c>
      <c r="B1122" s="22" t="s">
        <v>1063</v>
      </c>
      <c r="C1122" s="22" t="s">
        <v>1218</v>
      </c>
      <c r="D1122" s="22" t="s">
        <v>1063</v>
      </c>
      <c r="E1122" s="22" t="s">
        <v>1063</v>
      </c>
      <c r="F1122" s="22" t="s">
        <v>19</v>
      </c>
      <c r="G1122" s="23" t="n">
        <v>1</v>
      </c>
      <c r="H1122" s="24" t="n">
        <v>1</v>
      </c>
      <c r="I1122" s="24" t="n">
        <v>39.9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4"/>
      <c r="O1122" s="22"/>
    </row>
    <row collapsed="false" customFormat="false" customHeight="false" hidden="false" ht="12.1" outlineLevel="0" r="1123">
      <c r="A1123" s="21" t="n">
        <v>45902.624375</v>
      </c>
      <c r="B1123" s="22" t="s">
        <v>1063</v>
      </c>
      <c r="C1123" s="22" t="s">
        <v>1324</v>
      </c>
      <c r="D1123" s="22" t="s">
        <v>1063</v>
      </c>
      <c r="E1123" s="22" t="s">
        <v>1063</v>
      </c>
      <c r="F1123" s="22" t="s">
        <v>19</v>
      </c>
      <c r="G1123" s="23" t="n">
        <v>1</v>
      </c>
      <c r="H1123" s="24" t="n">
        <v>1</v>
      </c>
      <c r="I1123" s="24" t="n">
        <v>25.68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4"/>
      <c r="O1123" s="22"/>
    </row>
    <row collapsed="false" customFormat="false" customHeight="false" hidden="false" ht="12.1" outlineLevel="0" r="1124">
      <c r="A1124" s="21" t="n">
        <v>45903.4509375</v>
      </c>
      <c r="B1124" s="22" t="s">
        <v>1063</v>
      </c>
      <c r="C1124" s="22" t="s">
        <v>1263</v>
      </c>
      <c r="D1124" s="22" t="s">
        <v>1063</v>
      </c>
      <c r="E1124" s="22" t="s">
        <v>1063</v>
      </c>
      <c r="F1124" s="22" t="s">
        <v>19</v>
      </c>
      <c r="G1124" s="23" t="n">
        <v>1</v>
      </c>
      <c r="H1124" s="24" t="n">
        <v>1</v>
      </c>
      <c r="I1124" s="24" t="n">
        <v>29.17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4"/>
      <c r="O1124" s="22"/>
    </row>
    <row collapsed="false" customFormat="false" customHeight="false" hidden="false" ht="12.1" outlineLevel="0" r="1125">
      <c r="A1125" s="21" t="n">
        <v>45903.459247685</v>
      </c>
      <c r="B1125" s="22" t="s">
        <v>1063</v>
      </c>
      <c r="C1125" s="22" t="s">
        <v>1174</v>
      </c>
      <c r="D1125" s="22" t="s">
        <v>1063</v>
      </c>
      <c r="E1125" s="22" t="s">
        <v>1063</v>
      </c>
      <c r="F1125" s="22" t="s">
        <v>19</v>
      </c>
      <c r="G1125" s="23" t="n">
        <v>1</v>
      </c>
      <c r="H1125" s="24" t="n">
        <v>1</v>
      </c>
      <c r="I1125" s="24" t="n">
        <v>35.7</v>
      </c>
      <c r="J1125" s="24" t="n">
        <v>0</v>
      </c>
      <c r="K1125" s="24" t="n">
        <v>0</v>
      </c>
      <c r="L1125" s="24" t="n">
        <v>0</v>
      </c>
      <c r="M1125" s="6" t="s">
        <f>=I1125+J1125+K1125+L1125</f>
      </c>
      <c r="N1125" s="24"/>
      <c r="O1125" s="22"/>
    </row>
    <row collapsed="false" customFormat="false" customHeight="false" hidden="false" ht="12.1" outlineLevel="0" r="1126">
      <c r="A1126" s="21" t="n">
        <v>45904.4271875</v>
      </c>
      <c r="B1126" s="22" t="s">
        <v>1063</v>
      </c>
      <c r="C1126" s="22" t="s">
        <v>1266</v>
      </c>
      <c r="D1126" s="22" t="s">
        <v>1063</v>
      </c>
      <c r="E1126" s="22" t="s">
        <v>1063</v>
      </c>
      <c r="F1126" s="22" t="s">
        <v>19</v>
      </c>
      <c r="G1126" s="23" t="n">
        <v>1</v>
      </c>
      <c r="H1126" s="24" t="n">
        <v>1</v>
      </c>
      <c r="I1126" s="24" t="n">
        <v>19.55</v>
      </c>
      <c r="J1126" s="24" t="n">
        <v>0</v>
      </c>
      <c r="K1126" s="24" t="n">
        <v>0</v>
      </c>
      <c r="L1126" s="24" t="n">
        <v>0</v>
      </c>
      <c r="M1126" s="6" t="s">
        <f>=I1126+J1126+K1126+L1126</f>
      </c>
      <c r="N1126" s="24"/>
      <c r="O1126" s="22"/>
    </row>
    <row collapsed="false" customFormat="false" customHeight="false" hidden="false" ht="12.1" outlineLevel="0" r="1127">
      <c r="A1127" s="21" t="n">
        <v>45904.427534722</v>
      </c>
      <c r="B1127" s="22" t="s">
        <v>1063</v>
      </c>
      <c r="C1127" s="22" t="s">
        <v>1106</v>
      </c>
      <c r="D1127" s="22" t="s">
        <v>1063</v>
      </c>
      <c r="E1127" s="22" t="s">
        <v>1063</v>
      </c>
      <c r="F1127" s="22" t="s">
        <v>19</v>
      </c>
      <c r="G1127" s="23" t="n">
        <v>1</v>
      </c>
      <c r="H1127" s="24" t="n">
        <v>1</v>
      </c>
      <c r="I1127" s="24" t="n">
        <v>19.87</v>
      </c>
      <c r="J1127" s="24" t="n">
        <v>0</v>
      </c>
      <c r="K1127" s="24" t="n">
        <v>0</v>
      </c>
      <c r="L1127" s="24" t="n">
        <v>0</v>
      </c>
      <c r="M1127" s="6" t="s">
        <f>=I1127+J1127+K1127+L1127</f>
      </c>
      <c r="N1127" s="24"/>
      <c r="O1127" s="22"/>
    </row>
    <row collapsed="false" customFormat="false" customHeight="false" hidden="false" ht="12.1" outlineLevel="0" r="1128">
      <c r="A1128" s="21" t="n">
        <v>45904.481400463</v>
      </c>
      <c r="B1128" s="22" t="s">
        <v>1063</v>
      </c>
      <c r="C1128" s="22" t="s">
        <v>1123</v>
      </c>
      <c r="D1128" s="22" t="s">
        <v>1063</v>
      </c>
      <c r="E1128" s="22" t="s">
        <v>1063</v>
      </c>
      <c r="F1128" s="22" t="s">
        <v>19</v>
      </c>
      <c r="G1128" s="23" t="n">
        <v>1</v>
      </c>
      <c r="H1128" s="24" t="n">
        <v>1</v>
      </c>
      <c r="I1128" s="24" t="n">
        <v>106.71</v>
      </c>
      <c r="J1128" s="24" t="n">
        <v>0</v>
      </c>
      <c r="K1128" s="24" t="n">
        <v>0</v>
      </c>
      <c r="L1128" s="24" t="n">
        <v>0</v>
      </c>
      <c r="M1128" s="6" t="s">
        <f>=I1128+J1128+K1128+L1128</f>
      </c>
      <c r="N1128" s="24"/>
      <c r="O1128" s="22"/>
    </row>
    <row collapsed="false" customFormat="false" customHeight="false" hidden="false" ht="12.1" outlineLevel="0" r="1129">
      <c r="A1129" s="21" t="n">
        <v>45904.481550926</v>
      </c>
      <c r="B1129" s="22" t="s">
        <v>1063</v>
      </c>
      <c r="C1129" s="22" t="s">
        <v>1240</v>
      </c>
      <c r="D1129" s="22" t="s">
        <v>1063</v>
      </c>
      <c r="E1129" s="22" t="s">
        <v>1063</v>
      </c>
      <c r="F1129" s="22" t="s">
        <v>19</v>
      </c>
      <c r="G1129" s="23" t="n">
        <v>1</v>
      </c>
      <c r="H1129" s="24" t="n">
        <v>1</v>
      </c>
      <c r="I1129" s="24" t="n">
        <v>179.52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4"/>
      <c r="O1129" s="22"/>
    </row>
    <row collapsed="false" customFormat="false" customHeight="false" hidden="false" ht="12.1" outlineLevel="0" r="1130">
      <c r="A1130" s="21" t="n">
        <v>45905.390625</v>
      </c>
      <c r="B1130" s="22" t="s">
        <v>1063</v>
      </c>
      <c r="C1130" s="22" t="s">
        <v>1267</v>
      </c>
      <c r="D1130" s="22" t="s">
        <v>1063</v>
      </c>
      <c r="E1130" s="22" t="s">
        <v>1063</v>
      </c>
      <c r="F1130" s="22" t="s">
        <v>19</v>
      </c>
      <c r="G1130" s="23" t="n">
        <v>1</v>
      </c>
      <c r="H1130" s="24" t="n">
        <v>1</v>
      </c>
      <c r="I1130" s="24" t="n">
        <v>35.53</v>
      </c>
      <c r="J1130" s="24" t="n">
        <v>0</v>
      </c>
      <c r="K1130" s="24" t="n">
        <v>0</v>
      </c>
      <c r="L1130" s="24" t="n">
        <v>0</v>
      </c>
      <c r="M1130" s="6" t="s">
        <f>=I1130+J1130+K1130+L1130</f>
      </c>
      <c r="N1130" s="24"/>
      <c r="O1130" s="22"/>
    </row>
    <row collapsed="false" customFormat="false" customHeight="false" hidden="false" ht="12.1" outlineLevel="0" r="1131">
      <c r="A1131" s="21" t="n">
        <v>45905.457627315</v>
      </c>
      <c r="B1131" s="22" t="s">
        <v>1063</v>
      </c>
      <c r="C1131" s="22" t="s">
        <v>1329</v>
      </c>
      <c r="D1131" s="22" t="s">
        <v>1063</v>
      </c>
      <c r="E1131" s="22" t="s">
        <v>1063</v>
      </c>
      <c r="F1131" s="22" t="s">
        <v>19</v>
      </c>
      <c r="G1131" s="23" t="n">
        <v>1</v>
      </c>
      <c r="H1131" s="24" t="n">
        <v>1</v>
      </c>
      <c r="I1131" s="24" t="n">
        <v>3.28</v>
      </c>
      <c r="J1131" s="24" t="n">
        <v>0</v>
      </c>
      <c r="K1131" s="24" t="n">
        <v>0</v>
      </c>
      <c r="L1131" s="24" t="n">
        <v>0</v>
      </c>
      <c r="M1131" s="6" t="s">
        <f>=I1131+J1131+K1131+L1131</f>
      </c>
      <c r="N1131" s="24"/>
      <c r="O1131" s="22"/>
    </row>
    <row collapsed="false" customFormat="false" customHeight="false" hidden="false" ht="12.1" outlineLevel="0" r="1132">
      <c r="A1132" s="21" t="n">
        <v>45908.464259259</v>
      </c>
      <c r="B1132" s="22" t="s">
        <v>1063</v>
      </c>
      <c r="C1132" s="22" t="s">
        <v>1318</v>
      </c>
      <c r="D1132" s="22" t="s">
        <v>1063</v>
      </c>
      <c r="E1132" s="22" t="s">
        <v>1063</v>
      </c>
      <c r="F1132" s="22" t="s">
        <v>19</v>
      </c>
      <c r="G1132" s="23" t="n">
        <v>1</v>
      </c>
      <c r="H1132" s="24" t="n">
        <v>1</v>
      </c>
      <c r="I1132" s="24" t="n">
        <v>19.11</v>
      </c>
      <c r="J1132" s="24" t="n">
        <v>0</v>
      </c>
      <c r="K1132" s="24" t="n">
        <v>0</v>
      </c>
      <c r="L1132" s="24" t="n">
        <v>0</v>
      </c>
      <c r="M1132" s="6" t="s">
        <f>=I1132+J1132+K1132+L1132</f>
      </c>
      <c r="N1132" s="24"/>
      <c r="O1132" s="22"/>
    </row>
    <row collapsed="false" customFormat="false" customHeight="false" hidden="false" ht="12.1" outlineLevel="0" r="1133">
      <c r="A1133" s="21" t="n">
        <v>45909.597141204</v>
      </c>
      <c r="B1133" s="22" t="s">
        <v>1063</v>
      </c>
      <c r="C1133" s="22" t="s">
        <v>1314</v>
      </c>
      <c r="D1133" s="22" t="s">
        <v>1063</v>
      </c>
      <c r="E1133" s="22" t="s">
        <v>1063</v>
      </c>
      <c r="F1133" s="22" t="s">
        <v>19</v>
      </c>
      <c r="G1133" s="23" t="n">
        <v>1</v>
      </c>
      <c r="H1133" s="24" t="n">
        <v>1</v>
      </c>
      <c r="I1133" s="24" t="n">
        <v>17.45</v>
      </c>
      <c r="J1133" s="24" t="n">
        <v>0</v>
      </c>
      <c r="K1133" s="24" t="n">
        <v>0</v>
      </c>
      <c r="L1133" s="24" t="n">
        <v>0</v>
      </c>
      <c r="M1133" s="6" t="s">
        <f>=I1133+J1133+K1133+L1133</f>
      </c>
      <c r="N1133" s="24"/>
      <c r="O1133" s="22"/>
    </row>
    <row collapsed="false" customFormat="false" customHeight="false" hidden="false" ht="12.1" outlineLevel="0" r="1134">
      <c r="A1134" s="21" t="n">
        <v>45915.426516204</v>
      </c>
      <c r="B1134" s="22" t="s">
        <v>1063</v>
      </c>
      <c r="C1134" s="22" t="s">
        <v>1294</v>
      </c>
      <c r="D1134" s="22" t="s">
        <v>1063</v>
      </c>
      <c r="E1134" s="22" t="s">
        <v>1063</v>
      </c>
      <c r="F1134" s="22" t="s">
        <v>19</v>
      </c>
      <c r="G1134" s="23" t="n">
        <v>1</v>
      </c>
      <c r="H1134" s="24" t="n">
        <v>1</v>
      </c>
      <c r="I1134" s="24" t="n">
        <v>35.66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4"/>
      <c r="O1134" s="22"/>
    </row>
    <row collapsed="false" customFormat="false" customHeight="false" hidden="false" ht="12.1" outlineLevel="0" r="1135">
      <c r="A1135" s="21" t="n">
        <v>45917.509074074</v>
      </c>
      <c r="B1135" s="22" t="s">
        <v>1063</v>
      </c>
      <c r="C1135" s="22" t="s">
        <v>1126</v>
      </c>
      <c r="D1135" s="22" t="s">
        <v>1063</v>
      </c>
      <c r="E1135" s="22" t="s">
        <v>1063</v>
      </c>
      <c r="F1135" s="22" t="s">
        <v>19</v>
      </c>
      <c r="G1135" s="23" t="n">
        <v>1</v>
      </c>
      <c r="H1135" s="24" t="n">
        <v>1</v>
      </c>
      <c r="I1135" s="24" t="n">
        <v>39.39</v>
      </c>
      <c r="J1135" s="24" t="n">
        <v>0</v>
      </c>
      <c r="K1135" s="24" t="n">
        <v>0</v>
      </c>
      <c r="L1135" s="24" t="n">
        <v>0</v>
      </c>
      <c r="M1135" s="6" t="s">
        <f>=I1135+J1135+K1135+L1135</f>
      </c>
      <c r="N1135" s="24"/>
      <c r="O1135" s="22"/>
    </row>
    <row collapsed="false" customFormat="false" customHeight="false" hidden="false" ht="12.1" outlineLevel="0" r="1136">
      <c r="A1136" s="21" t="n">
        <v>45918.495069444</v>
      </c>
      <c r="B1136" s="22" t="s">
        <v>1063</v>
      </c>
      <c r="C1136" s="22" t="s">
        <v>1303</v>
      </c>
      <c r="D1136" s="22" t="s">
        <v>1063</v>
      </c>
      <c r="E1136" s="22" t="s">
        <v>1063</v>
      </c>
      <c r="F1136" s="22" t="s">
        <v>19</v>
      </c>
      <c r="G1136" s="23" t="n">
        <v>1</v>
      </c>
      <c r="H1136" s="24" t="n">
        <v>1</v>
      </c>
      <c r="I1136" s="24" t="n">
        <v>16.86</v>
      </c>
      <c r="J1136" s="24" t="n">
        <v>0</v>
      </c>
      <c r="K1136" s="24" t="n">
        <v>0</v>
      </c>
      <c r="L1136" s="24" t="n">
        <v>0</v>
      </c>
      <c r="M1136" s="6" t="s">
        <f>=I1136+J1136+K1136+L1136</f>
      </c>
      <c r="N1136" s="24"/>
      <c r="O1136" s="22"/>
    </row>
    <row collapsed="false" customFormat="false" customHeight="false" hidden="false" ht="12.1" outlineLevel="0" r="1137">
      <c r="A1137" s="21" t="n">
        <v>45918.548043981</v>
      </c>
      <c r="B1137" s="22" t="s">
        <v>1063</v>
      </c>
      <c r="C1137" s="22" t="s">
        <v>1085</v>
      </c>
      <c r="D1137" s="22" t="s">
        <v>1063</v>
      </c>
      <c r="E1137" s="22" t="s">
        <v>1063</v>
      </c>
      <c r="F1137" s="22" t="s">
        <v>19</v>
      </c>
      <c r="G1137" s="23" t="n">
        <v>1</v>
      </c>
      <c r="H1137" s="24" t="n">
        <v>1</v>
      </c>
      <c r="I1137" s="24" t="n">
        <v>411.88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4"/>
      <c r="O1137" s="22"/>
    </row>
    <row collapsed="false" customFormat="false" customHeight="false" hidden="false" ht="12.1" outlineLevel="0" r="1138">
      <c r="A1138" s="21" t="n">
        <v>45922.463483796</v>
      </c>
      <c r="B1138" s="22" t="s">
        <v>1063</v>
      </c>
      <c r="C1138" s="22" t="s">
        <v>1322</v>
      </c>
      <c r="D1138" s="22" t="s">
        <v>1063</v>
      </c>
      <c r="E1138" s="22" t="s">
        <v>1063</v>
      </c>
      <c r="F1138" s="22" t="s">
        <v>19</v>
      </c>
      <c r="G1138" s="23" t="n">
        <v>1</v>
      </c>
      <c r="H1138" s="24" t="n">
        <v>1</v>
      </c>
      <c r="I1138" s="24" t="n">
        <v>20.96</v>
      </c>
      <c r="J1138" s="24" t="n">
        <v>0</v>
      </c>
      <c r="K1138" s="24" t="n">
        <v>0</v>
      </c>
      <c r="L1138" s="24" t="n">
        <v>0</v>
      </c>
      <c r="M1138" s="6" t="s">
        <f>=I1138+J1138+K1138+L1138</f>
      </c>
      <c r="N1138" s="24"/>
      <c r="O1138" s="22"/>
    </row>
    <row collapsed="false" customFormat="false" customHeight="false" hidden="false" ht="12.1" outlineLevel="0" r="1139">
      <c r="A1139" s="21" t="n">
        <v>45923.536018519</v>
      </c>
      <c r="B1139" s="22" t="s">
        <v>1063</v>
      </c>
      <c r="C1139" s="22" t="s">
        <v>1251</v>
      </c>
      <c r="D1139" s="22" t="s">
        <v>1063</v>
      </c>
      <c r="E1139" s="22" t="s">
        <v>1063</v>
      </c>
      <c r="F1139" s="22" t="s">
        <v>19</v>
      </c>
      <c r="G1139" s="23" t="n">
        <v>1</v>
      </c>
      <c r="H1139" s="24" t="n">
        <v>1</v>
      </c>
      <c r="I1139" s="24" t="n">
        <v>11.18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4"/>
      <c r="O1139" s="22"/>
    </row>
    <row collapsed="false" customFormat="false" customHeight="false" hidden="false" ht="12.1" outlineLevel="0" r="1140">
      <c r="A1140" s="21" t="n">
        <v>45923.536238426</v>
      </c>
      <c r="B1140" s="22" t="s">
        <v>1063</v>
      </c>
      <c r="C1140" s="22" t="s">
        <v>1235</v>
      </c>
      <c r="D1140" s="22" t="s">
        <v>1063</v>
      </c>
      <c r="E1140" s="22" t="s">
        <v>1063</v>
      </c>
      <c r="F1140" s="22" t="s">
        <v>19</v>
      </c>
      <c r="G1140" s="23" t="n">
        <v>1</v>
      </c>
      <c r="H1140" s="24" t="n">
        <v>1</v>
      </c>
      <c r="I1140" s="24" t="n">
        <v>31.4</v>
      </c>
      <c r="J1140" s="24" t="n">
        <v>0</v>
      </c>
      <c r="K1140" s="24" t="n">
        <v>0</v>
      </c>
      <c r="L1140" s="24" t="n">
        <v>0</v>
      </c>
      <c r="M1140" s="6" t="s">
        <f>=I1140+J1140+K1140+L1140</f>
      </c>
      <c r="N1140" s="24"/>
      <c r="O1140" s="22"/>
    </row>
    <row collapsed="false" customFormat="false" customHeight="false" hidden="false" ht="12.1" outlineLevel="0" r="1141">
      <c r="A1141" s="21" t="n">
        <v>45923.588217593</v>
      </c>
      <c r="B1141" s="22" t="s">
        <v>1063</v>
      </c>
      <c r="C1141" s="22" t="s">
        <v>1295</v>
      </c>
      <c r="D1141" s="22" t="s">
        <v>1063</v>
      </c>
      <c r="E1141" s="22" t="s">
        <v>1063</v>
      </c>
      <c r="F1141" s="22" t="s">
        <v>19</v>
      </c>
      <c r="G1141" s="23" t="n">
        <v>1</v>
      </c>
      <c r="H1141" s="24" t="n">
        <v>1</v>
      </c>
      <c r="I1141" s="24" t="n">
        <v>90.76</v>
      </c>
      <c r="J1141" s="24" t="n">
        <v>0</v>
      </c>
      <c r="K1141" s="24" t="n">
        <v>0</v>
      </c>
      <c r="L1141" s="24" t="n">
        <v>0</v>
      </c>
      <c r="M1141" s="6" t="s">
        <f>=I1141+J1141+K1141+L1141</f>
      </c>
      <c r="N1141" s="24"/>
      <c r="O1141" s="22"/>
    </row>
    <row collapsed="false" customFormat="false" customHeight="false" hidden="false" ht="12.1" outlineLevel="0" r="1142">
      <c r="A1142" s="21" t="n">
        <v>45924.694328704</v>
      </c>
      <c r="B1142" s="22" t="s">
        <v>1063</v>
      </c>
      <c r="C1142" s="22" t="s">
        <v>1208</v>
      </c>
      <c r="D1142" s="22" t="s">
        <v>1063</v>
      </c>
      <c r="E1142" s="22" t="s">
        <v>1063</v>
      </c>
      <c r="F1142" s="22" t="s">
        <v>19</v>
      </c>
      <c r="G1142" s="23" t="n">
        <v>1</v>
      </c>
      <c r="H1142" s="24" t="n">
        <v>1</v>
      </c>
      <c r="I1142" s="24" t="n">
        <v>504.9</v>
      </c>
      <c r="J1142" s="24" t="n">
        <v>0</v>
      </c>
      <c r="K1142" s="24" t="n">
        <v>0</v>
      </c>
      <c r="L1142" s="24" t="n">
        <v>0</v>
      </c>
      <c r="M1142" s="6" t="s">
        <f>=I1142+J1142+K1142+L1142</f>
      </c>
      <c r="N1142" s="24"/>
      <c r="O1142" s="22"/>
    </row>
    <row collapsed="false" customFormat="false" customHeight="false" hidden="false" ht="12.1" outlineLevel="0" r="1143">
      <c r="A1143" s="21" t="n">
        <v>45924.707395833</v>
      </c>
      <c r="B1143" s="22" t="s">
        <v>1063</v>
      </c>
      <c r="C1143" s="22" t="s">
        <v>1297</v>
      </c>
      <c r="D1143" s="22" t="s">
        <v>1063</v>
      </c>
      <c r="E1143" s="22" t="s">
        <v>1063</v>
      </c>
      <c r="F1143" s="22" t="s">
        <v>19</v>
      </c>
      <c r="G1143" s="23" t="n">
        <v>1</v>
      </c>
      <c r="H1143" s="24" t="n">
        <v>1</v>
      </c>
      <c r="I1143" s="24" t="n">
        <v>538.56</v>
      </c>
      <c r="J1143" s="24" t="n">
        <v>0</v>
      </c>
      <c r="K1143" s="24" t="n">
        <v>0</v>
      </c>
      <c r="L1143" s="24" t="n">
        <v>0</v>
      </c>
      <c r="M1143" s="6" t="s">
        <f>=I1143+J1143+K1143+L1143</f>
      </c>
      <c r="N1143" s="24"/>
      <c r="O1143" s="22"/>
    </row>
    <row collapsed="false" customFormat="false" customHeight="false" hidden="false" ht="12.1" outlineLevel="0" r="1144">
      <c r="A1144" s="21" t="n">
        <v>45924.73150463</v>
      </c>
      <c r="B1144" s="22" t="s">
        <v>1063</v>
      </c>
      <c r="C1144" s="22" t="s">
        <v>1209</v>
      </c>
      <c r="D1144" s="22" t="s">
        <v>1063</v>
      </c>
      <c r="E1144" s="22" t="s">
        <v>1063</v>
      </c>
      <c r="F1144" s="22" t="s">
        <v>19</v>
      </c>
      <c r="G1144" s="23" t="n">
        <v>1</v>
      </c>
      <c r="H1144" s="24" t="n">
        <v>1</v>
      </c>
      <c r="I1144" s="24" t="n">
        <v>423.8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4"/>
      <c r="O1144" s="22"/>
    </row>
    <row collapsed="false" customFormat="false" customHeight="false" hidden="false" ht="12.1" outlineLevel="0" r="1145">
      <c r="A1145" s="21" t="n">
        <v>45924.735266204</v>
      </c>
      <c r="B1145" s="22" t="s">
        <v>1063</v>
      </c>
      <c r="C1145" s="22" t="s">
        <v>1128</v>
      </c>
      <c r="D1145" s="22" t="s">
        <v>1063</v>
      </c>
      <c r="E1145" s="22" t="s">
        <v>1063</v>
      </c>
      <c r="F1145" s="22" t="s">
        <v>19</v>
      </c>
      <c r="G1145" s="23" t="n">
        <v>1</v>
      </c>
      <c r="H1145" s="24" t="n">
        <v>1</v>
      </c>
      <c r="I1145" s="24" t="n">
        <v>71.24</v>
      </c>
      <c r="J1145" s="24" t="n">
        <v>0</v>
      </c>
      <c r="K1145" s="24" t="n">
        <v>0</v>
      </c>
      <c r="L1145" s="24" t="n">
        <v>0</v>
      </c>
      <c r="M1145" s="6" t="s">
        <f>=I1145+J1145+K1145+L1145</f>
      </c>
      <c r="N1145" s="24"/>
      <c r="O1145" s="22"/>
    </row>
    <row collapsed="false" customFormat="false" customHeight="false" hidden="false" ht="12.1" outlineLevel="0" r="1146">
      <c r="A1146" s="21" t="n">
        <v>45926.717905093</v>
      </c>
      <c r="B1146" s="22" t="s">
        <v>1063</v>
      </c>
      <c r="C1146" s="22" t="s">
        <v>1323</v>
      </c>
      <c r="D1146" s="22" t="s">
        <v>1063</v>
      </c>
      <c r="E1146" s="22" t="s">
        <v>1063</v>
      </c>
      <c r="F1146" s="22" t="s">
        <v>19</v>
      </c>
      <c r="G1146" s="23" t="n">
        <v>1</v>
      </c>
      <c r="H1146" s="24" t="n">
        <v>1</v>
      </c>
      <c r="I1146" s="24" t="n">
        <v>19.48</v>
      </c>
      <c r="J1146" s="24" t="n">
        <v>0</v>
      </c>
      <c r="K1146" s="24" t="n">
        <v>0</v>
      </c>
      <c r="L1146" s="24" t="n">
        <v>0</v>
      </c>
      <c r="M1146" s="6" t="s">
        <f>=I1146+J1146+K1146+L1146</f>
      </c>
      <c r="N1146" s="24"/>
      <c r="O1146" s="22"/>
    </row>
    <row collapsed="false" customFormat="false" customHeight="false" hidden="false" ht="12.1" outlineLevel="0" r="1147">
      <c r="A1147" s="21" t="n">
        <v>45926.735543981</v>
      </c>
      <c r="B1147" s="22" t="s">
        <v>1063</v>
      </c>
      <c r="C1147" s="22" t="s">
        <v>1298</v>
      </c>
      <c r="D1147" s="22" t="s">
        <v>1063</v>
      </c>
      <c r="E1147" s="22" t="s">
        <v>1063</v>
      </c>
      <c r="F1147" s="22" t="s">
        <v>19</v>
      </c>
      <c r="G1147" s="23" t="n">
        <v>1</v>
      </c>
      <c r="H1147" s="24" t="n">
        <v>1</v>
      </c>
      <c r="I1147" s="24" t="n">
        <v>52.36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4"/>
      <c r="O1147" s="22"/>
    </row>
    <row collapsed="false" customFormat="false" customHeight="false" hidden="false" ht="12.1" outlineLevel="0" r="1148">
      <c r="A1148" s="29" t="n">
        <v>45927.632418981</v>
      </c>
      <c r="B1148" s="30" t="s">
        <v>927</v>
      </c>
      <c r="C1148" s="30" t="s">
        <v>1154</v>
      </c>
      <c r="D1148" s="30" t="s">
        <v>938</v>
      </c>
      <c r="E1148" s="30" t="s">
        <v>17</v>
      </c>
      <c r="F1148" s="30" t="s">
        <v>19</v>
      </c>
      <c r="G1148" s="31" t="n">
        <v>-20000</v>
      </c>
      <c r="H1148" s="32" t="n">
        <v>0.06546</v>
      </c>
      <c r="I1148" s="32" t="n">
        <v>1309.2</v>
      </c>
      <c r="J1148" s="32" t="n">
        <v>0</v>
      </c>
      <c r="K1148" s="32" t="n">
        <v>-0.52</v>
      </c>
      <c r="L1148" s="32" t="n">
        <v>0</v>
      </c>
      <c r="M1148" s="6" t="s">
        <f>=I1148+J1148+K1148+L1148</f>
      </c>
      <c r="N1148" s="32"/>
      <c r="O1148" s="30"/>
    </row>
    <row collapsed="false" customFormat="false" customHeight="false" hidden="false" ht="12.1" outlineLevel="0" r="1149">
      <c r="A1149" s="29" t="n">
        <v>45927.632789352</v>
      </c>
      <c r="B1149" s="30" t="s">
        <v>921</v>
      </c>
      <c r="C1149" s="30" t="s">
        <v>1086</v>
      </c>
      <c r="D1149" s="30" t="s">
        <v>938</v>
      </c>
      <c r="E1149" s="30" t="s">
        <v>17</v>
      </c>
      <c r="F1149" s="30" t="s">
        <v>19</v>
      </c>
      <c r="G1149" s="31" t="n">
        <v>-2000</v>
      </c>
      <c r="H1149" s="32" t="n">
        <v>0.42805</v>
      </c>
      <c r="I1149" s="32" t="n">
        <v>856.1</v>
      </c>
      <c r="J1149" s="32" t="n">
        <v>0</v>
      </c>
      <c r="K1149" s="32" t="n">
        <v>-0.34</v>
      </c>
      <c r="L1149" s="32" t="n">
        <v>0</v>
      </c>
      <c r="M1149" s="6" t="s">
        <f>=I1149+J1149+K1149+L1149</f>
      </c>
      <c r="N1149" s="32"/>
      <c r="O1149" s="30"/>
    </row>
    <row collapsed="false" customFormat="false" customHeight="false" hidden="false" ht="12.1" outlineLevel="0" r="1150">
      <c r="A1150" s="21" t="n">
        <v>45931.492511574</v>
      </c>
      <c r="B1150" s="22" t="s">
        <v>1063</v>
      </c>
      <c r="C1150" s="22" t="s">
        <v>1207</v>
      </c>
      <c r="D1150" s="22" t="s">
        <v>1063</v>
      </c>
      <c r="E1150" s="22" t="s">
        <v>1063</v>
      </c>
      <c r="F1150" s="22" t="s">
        <v>19</v>
      </c>
      <c r="G1150" s="23" t="n">
        <v>1</v>
      </c>
      <c r="H1150" s="24" t="n">
        <v>1</v>
      </c>
      <c r="I1150" s="24" t="n">
        <v>16.42</v>
      </c>
      <c r="J1150" s="24" t="n">
        <v>0</v>
      </c>
      <c r="K1150" s="24" t="n">
        <v>0</v>
      </c>
      <c r="L1150" s="24" t="n">
        <v>0</v>
      </c>
      <c r="M1150" s="6" t="s">
        <f>=I1150+J1150+K1150+L1150</f>
      </c>
      <c r="N1150" s="24"/>
      <c r="O1150" s="22"/>
    </row>
    <row collapsed="false" customFormat="false" customHeight="false" hidden="false" ht="12.1" outlineLevel="0" r="1151">
      <c r="A1151" s="21" t="n">
        <v>45931.522685185</v>
      </c>
      <c r="B1151" s="22" t="s">
        <v>1056</v>
      </c>
      <c r="C1151" s="22" t="s">
        <v>350</v>
      </c>
      <c r="D1151" s="22" t="s">
        <v>1056</v>
      </c>
      <c r="E1151" s="22" t="s">
        <v>1056</v>
      </c>
      <c r="F1151" s="22" t="s">
        <v>19</v>
      </c>
      <c r="G1151" s="23" t="n">
        <v>1</v>
      </c>
      <c r="H1151" s="24" t="n">
        <v>1</v>
      </c>
      <c r="I1151" s="24" t="n">
        <v>11600</v>
      </c>
      <c r="J1151" s="24" t="n">
        <v>0</v>
      </c>
      <c r="K1151" s="24" t="n">
        <v>0</v>
      </c>
      <c r="L1151" s="24" t="n">
        <v>0</v>
      </c>
      <c r="M1151" s="6" t="s">
        <f>=I1151+J1151+K1151+L1151</f>
      </c>
      <c r="N1151" s="24"/>
      <c r="O1151" s="22"/>
    </row>
    <row collapsed="false" customFormat="false" customHeight="false" hidden="false" ht="12.1" outlineLevel="0" r="1152">
      <c r="A1152" s="20" t="n">
        <v>45931.530277778</v>
      </c>
      <c r="B1152" s="16" t="s">
        <v>145</v>
      </c>
      <c r="C1152" s="16" t="s">
        <v>1339</v>
      </c>
      <c r="D1152" s="16" t="s">
        <v>912</v>
      </c>
      <c r="E1152" s="16" t="s">
        <v>85</v>
      </c>
      <c r="F1152" s="16" t="s">
        <v>19</v>
      </c>
      <c r="G1152" s="7" t="n">
        <v>1</v>
      </c>
      <c r="H1152" s="6" t="n">
        <v>85.542</v>
      </c>
      <c r="I1152" s="6" t="n">
        <v>-855.42</v>
      </c>
      <c r="J1152" s="6" t="n">
        <v>-32.55</v>
      </c>
      <c r="K1152" s="6" t="n">
        <v>-2.57</v>
      </c>
      <c r="L1152" s="6" t="n">
        <v>0</v>
      </c>
      <c r="M1152" s="6" t="s">
        <f>=I1152+J1152+K1152+L1152</f>
      </c>
      <c r="N1152" s="6"/>
      <c r="O1152" s="16"/>
    </row>
    <row collapsed="false" customFormat="false" customHeight="false" hidden="false" ht="12.1" outlineLevel="0" r="1153">
      <c r="A1153" s="20" t="n">
        <v>45931.530486111</v>
      </c>
      <c r="B1153" s="16" t="s">
        <v>121</v>
      </c>
      <c r="C1153" s="16" t="s">
        <v>1285</v>
      </c>
      <c r="D1153" s="16" t="s">
        <v>912</v>
      </c>
      <c r="E1153" s="16" t="s">
        <v>85</v>
      </c>
      <c r="F1153" s="16" t="s">
        <v>19</v>
      </c>
      <c r="G1153" s="7" t="n">
        <v>1</v>
      </c>
      <c r="H1153" s="6" t="n">
        <v>86.859</v>
      </c>
      <c r="I1153" s="6" t="n">
        <v>-868.59</v>
      </c>
      <c r="J1153" s="6" t="n">
        <v>-57.87</v>
      </c>
      <c r="K1153" s="6" t="n">
        <v>-2.61</v>
      </c>
      <c r="L1153" s="6" t="n">
        <v>0</v>
      </c>
      <c r="M1153" s="6" t="s">
        <f>=I1153+J1153+K1153+L1153</f>
      </c>
      <c r="N1153" s="6"/>
      <c r="O1153" s="16"/>
    </row>
    <row collapsed="false" customFormat="false" customHeight="false" hidden="false" ht="12.1" outlineLevel="0" r="1154">
      <c r="A1154" s="20" t="n">
        <v>45931.530729167</v>
      </c>
      <c r="B1154" s="16" t="s">
        <v>115</v>
      </c>
      <c r="C1154" s="16" t="s">
        <v>1252</v>
      </c>
      <c r="D1154" s="16" t="s">
        <v>912</v>
      </c>
      <c r="E1154" s="16" t="s">
        <v>85</v>
      </c>
      <c r="F1154" s="16" t="s">
        <v>19</v>
      </c>
      <c r="G1154" s="7" t="n">
        <v>1</v>
      </c>
      <c r="H1154" s="6" t="n">
        <v>86.75</v>
      </c>
      <c r="I1154" s="6" t="n">
        <v>-867.5</v>
      </c>
      <c r="J1154" s="6" t="n">
        <v>-42.62</v>
      </c>
      <c r="K1154" s="6" t="n">
        <v>-2.6</v>
      </c>
      <c r="L1154" s="6" t="n">
        <v>0</v>
      </c>
      <c r="M1154" s="6" t="s">
        <f>=I1154+J1154+K1154+L1154</f>
      </c>
      <c r="N1154" s="6"/>
      <c r="O1154" s="16"/>
    </row>
    <row collapsed="false" customFormat="false" customHeight="false" hidden="false" ht="12.1" outlineLevel="0" r="1155">
      <c r="A1155" s="20" t="n">
        <v>45931.530914352</v>
      </c>
      <c r="B1155" s="16" t="s">
        <v>97</v>
      </c>
      <c r="C1155" s="16" t="s">
        <v>1284</v>
      </c>
      <c r="D1155" s="16" t="s">
        <v>912</v>
      </c>
      <c r="E1155" s="16" t="s">
        <v>85</v>
      </c>
      <c r="F1155" s="16" t="s">
        <v>19</v>
      </c>
      <c r="G1155" s="7" t="n">
        <v>1</v>
      </c>
      <c r="H1155" s="6" t="n">
        <v>86.747</v>
      </c>
      <c r="I1155" s="6" t="n">
        <v>-867.47</v>
      </c>
      <c r="J1155" s="6" t="n">
        <v>-2.63</v>
      </c>
      <c r="K1155" s="6" t="n">
        <v>-2.6</v>
      </c>
      <c r="L1155" s="6" t="n">
        <v>0</v>
      </c>
      <c r="M1155" s="6" t="s">
        <f>=I1155+J1155+K1155+L1155</f>
      </c>
      <c r="N1155" s="6"/>
      <c r="O1155" s="16"/>
    </row>
    <row collapsed="false" customFormat="false" customHeight="false" hidden="false" ht="12.1" outlineLevel="0" r="1156">
      <c r="A1156" s="20" t="n">
        <v>45931.531157407</v>
      </c>
      <c r="B1156" s="16" t="s">
        <v>84</v>
      </c>
      <c r="C1156" s="16" t="s">
        <v>1065</v>
      </c>
      <c r="D1156" s="16" t="s">
        <v>912</v>
      </c>
      <c r="E1156" s="16" t="s">
        <v>85</v>
      </c>
      <c r="F1156" s="16" t="s">
        <v>19</v>
      </c>
      <c r="G1156" s="7" t="n">
        <v>1</v>
      </c>
      <c r="H1156" s="6" t="n">
        <v>56.761</v>
      </c>
      <c r="I1156" s="6" t="n">
        <v>-567.61</v>
      </c>
      <c r="J1156" s="6" t="n">
        <v>-10.7</v>
      </c>
      <c r="K1156" s="6" t="n">
        <v>-1.7</v>
      </c>
      <c r="L1156" s="6" t="n">
        <v>0</v>
      </c>
      <c r="M1156" s="6" t="s">
        <f>=I1156+J1156+K1156+L1156</f>
      </c>
      <c r="N1156" s="6"/>
      <c r="O1156" s="16"/>
    </row>
    <row collapsed="false" customFormat="false" customHeight="false" hidden="false" ht="12.1" outlineLevel="0" r="1157">
      <c r="A1157" s="20" t="n">
        <v>45931.531354167</v>
      </c>
      <c r="B1157" s="16" t="s">
        <v>136</v>
      </c>
      <c r="C1157" s="16" t="s">
        <v>1066</v>
      </c>
      <c r="D1157" s="16" t="s">
        <v>912</v>
      </c>
      <c r="E1157" s="16" t="s">
        <v>85</v>
      </c>
      <c r="F1157" s="16" t="s">
        <v>19</v>
      </c>
      <c r="G1157" s="7" t="n">
        <v>1</v>
      </c>
      <c r="H1157" s="6" t="n">
        <v>64.9</v>
      </c>
      <c r="I1157" s="6" t="n">
        <v>-649</v>
      </c>
      <c r="J1157" s="6" t="n">
        <v>-26.62</v>
      </c>
      <c r="K1157" s="6" t="n">
        <v>-1.95</v>
      </c>
      <c r="L1157" s="6" t="n">
        <v>0</v>
      </c>
      <c r="M1157" s="6" t="s">
        <f>=I1157+J1157+K1157+L1157</f>
      </c>
      <c r="N1157" s="6"/>
      <c r="O1157" s="16"/>
    </row>
    <row collapsed="false" customFormat="false" customHeight="false" hidden="false" ht="12.1" outlineLevel="0" r="1158">
      <c r="A1158" s="20" t="n">
        <v>45931.531493056</v>
      </c>
      <c r="B1158" s="16" t="s">
        <v>106</v>
      </c>
      <c r="C1158" s="16" t="s">
        <v>1100</v>
      </c>
      <c r="D1158" s="16" t="s">
        <v>912</v>
      </c>
      <c r="E1158" s="16" t="s">
        <v>85</v>
      </c>
      <c r="F1158" s="16" t="s">
        <v>19</v>
      </c>
      <c r="G1158" s="7" t="n">
        <v>1</v>
      </c>
      <c r="H1158" s="6" t="n">
        <v>60.266</v>
      </c>
      <c r="I1158" s="6" t="n">
        <v>-602.66</v>
      </c>
      <c r="J1158" s="6" t="n">
        <v>-0.21000000000004</v>
      </c>
      <c r="K1158" s="6" t="n">
        <v>-1.81</v>
      </c>
      <c r="L1158" s="6" t="n">
        <v>0</v>
      </c>
      <c r="M1158" s="6" t="s">
        <f>=I1158+J1158+K1158+L1158</f>
      </c>
      <c r="N1158" s="6"/>
      <c r="O1158" s="16"/>
    </row>
    <row collapsed="false" customFormat="false" customHeight="false" hidden="false" ht="12.1" outlineLevel="0" r="1159">
      <c r="A1159" s="20" t="n">
        <v>45931.531689815</v>
      </c>
      <c r="B1159" s="16" t="s">
        <v>127</v>
      </c>
      <c r="C1159" s="16" t="s">
        <v>1099</v>
      </c>
      <c r="D1159" s="16" t="s">
        <v>912</v>
      </c>
      <c r="E1159" s="16" t="s">
        <v>85</v>
      </c>
      <c r="F1159" s="16" t="s">
        <v>19</v>
      </c>
      <c r="G1159" s="7" t="n">
        <v>1</v>
      </c>
      <c r="H1159" s="6" t="n">
        <v>69.569</v>
      </c>
      <c r="I1159" s="6" t="n">
        <v>-695.69</v>
      </c>
      <c r="J1159" s="6" t="n">
        <v>-0.20999999999992</v>
      </c>
      <c r="K1159" s="6" t="n">
        <v>-2.09</v>
      </c>
      <c r="L1159" s="6" t="n">
        <v>0</v>
      </c>
      <c r="M1159" s="6" t="s">
        <f>=I1159+J1159+K1159+L1159</f>
      </c>
      <c r="N1159" s="6"/>
      <c r="O1159" s="16"/>
    </row>
    <row collapsed="false" customFormat="false" customHeight="false" hidden="false" ht="12.1" outlineLevel="0" r="1160">
      <c r="A1160" s="20" t="n">
        <v>45931.531863426</v>
      </c>
      <c r="B1160" s="16" t="s">
        <v>91</v>
      </c>
      <c r="C1160" s="16" t="s">
        <v>1167</v>
      </c>
      <c r="D1160" s="16" t="s">
        <v>912</v>
      </c>
      <c r="E1160" s="16" t="s">
        <v>85</v>
      </c>
      <c r="F1160" s="16" t="s">
        <v>19</v>
      </c>
      <c r="G1160" s="7" t="n">
        <v>1</v>
      </c>
      <c r="H1160" s="6" t="n">
        <v>73.199</v>
      </c>
      <c r="I1160" s="6" t="n">
        <v>-731.99</v>
      </c>
      <c r="J1160" s="6" t="n">
        <v>-32.22</v>
      </c>
      <c r="K1160" s="6" t="n">
        <v>-2.2</v>
      </c>
      <c r="L1160" s="6" t="n">
        <v>0</v>
      </c>
      <c r="M1160" s="6" t="s">
        <f>=I1160+J1160+K1160+L1160</f>
      </c>
      <c r="N1160" s="6"/>
      <c r="O1160" s="16"/>
    </row>
    <row collapsed="false" customFormat="false" customHeight="false" hidden="false" ht="12.1" outlineLevel="0" r="1161">
      <c r="A1161" s="20" t="n">
        <v>45931.532002315</v>
      </c>
      <c r="B1161" s="16" t="s">
        <v>100</v>
      </c>
      <c r="C1161" s="16" t="s">
        <v>1253</v>
      </c>
      <c r="D1161" s="16" t="s">
        <v>912</v>
      </c>
      <c r="E1161" s="16" t="s">
        <v>85</v>
      </c>
      <c r="F1161" s="16" t="s">
        <v>19</v>
      </c>
      <c r="G1161" s="7" t="n">
        <v>1</v>
      </c>
      <c r="H1161" s="6" t="n">
        <v>86.829</v>
      </c>
      <c r="I1161" s="6" t="n">
        <v>-868.29</v>
      </c>
      <c r="J1161" s="6" t="n">
        <v>-40.27</v>
      </c>
      <c r="K1161" s="6" t="n">
        <v>-2.6</v>
      </c>
      <c r="L1161" s="6" t="n">
        <v>0</v>
      </c>
      <c r="M1161" s="6" t="s">
        <f>=I1161+J1161+K1161+L1161</f>
      </c>
      <c r="N1161" s="6"/>
      <c r="O1161" s="16"/>
    </row>
    <row collapsed="false" customFormat="false" customHeight="false" hidden="false" ht="12.1" outlineLevel="0" r="1162">
      <c r="A1162" s="20" t="n">
        <v>45931.533101852</v>
      </c>
      <c r="B1162" s="16" t="s">
        <v>16</v>
      </c>
      <c r="C1162" s="16" t="s">
        <v>1112</v>
      </c>
      <c r="D1162" s="16" t="s">
        <v>912</v>
      </c>
      <c r="E1162" s="16" t="s">
        <v>17</v>
      </c>
      <c r="F1162" s="16" t="s">
        <v>19</v>
      </c>
      <c r="G1162" s="7" t="n">
        <v>31</v>
      </c>
      <c r="H1162" s="6" t="n">
        <v>290.03</v>
      </c>
      <c r="I1162" s="6" t="n">
        <v>-8990.93</v>
      </c>
      <c r="J1162" s="6" t="n">
        <v>0</v>
      </c>
      <c r="K1162" s="6" t="n">
        <v>-26.97</v>
      </c>
      <c r="L1162" s="6" t="n">
        <v>0</v>
      </c>
      <c r="M1162" s="6" t="s">
        <f>=I1162+J1162+K1162+L1162</f>
      </c>
      <c r="N1162" s="6"/>
      <c r="O1162" s="16"/>
    </row>
    <row collapsed="false" customFormat="false" customHeight="false" hidden="false" ht="12.1" outlineLevel="0" r="1163">
      <c r="A1163" s="21" t="n">
        <v>45932.435891204</v>
      </c>
      <c r="B1163" s="22" t="s">
        <v>1063</v>
      </c>
      <c r="C1163" s="22" t="s">
        <v>1129</v>
      </c>
      <c r="D1163" s="22" t="s">
        <v>1063</v>
      </c>
      <c r="E1163" s="22" t="s">
        <v>1063</v>
      </c>
      <c r="F1163" s="22" t="s">
        <v>19</v>
      </c>
      <c r="G1163" s="23" t="n">
        <v>1</v>
      </c>
      <c r="H1163" s="24" t="n">
        <v>1</v>
      </c>
      <c r="I1163" s="24" t="n">
        <v>460.68</v>
      </c>
      <c r="J1163" s="24" t="n">
        <v>0</v>
      </c>
      <c r="K1163" s="24" t="n">
        <v>0</v>
      </c>
      <c r="L1163" s="24" t="n">
        <v>0</v>
      </c>
      <c r="M1163" s="6" t="s">
        <f>=I1163+J1163+K1163+L1163</f>
      </c>
      <c r="N1163" s="24"/>
      <c r="O1163" s="22"/>
    </row>
    <row collapsed="false" customFormat="false" customHeight="false" hidden="false" ht="12.1" outlineLevel="0" r="1164">
      <c r="A1164" s="21" t="n">
        <v>45932.441388889</v>
      </c>
      <c r="B1164" s="22" t="s">
        <v>1063</v>
      </c>
      <c r="C1164" s="22" t="s">
        <v>1130</v>
      </c>
      <c r="D1164" s="22" t="s">
        <v>1063</v>
      </c>
      <c r="E1164" s="22" t="s">
        <v>1063</v>
      </c>
      <c r="F1164" s="22" t="s">
        <v>19</v>
      </c>
      <c r="G1164" s="23" t="n">
        <v>1</v>
      </c>
      <c r="H1164" s="24" t="n">
        <v>1</v>
      </c>
      <c r="I1164" s="24" t="n">
        <v>652.63</v>
      </c>
      <c r="J1164" s="24" t="n">
        <v>0</v>
      </c>
      <c r="K1164" s="24" t="n">
        <v>0</v>
      </c>
      <c r="L1164" s="24" t="n">
        <v>0</v>
      </c>
      <c r="M1164" s="6" t="s">
        <f>=I1164+J1164+K1164+L1164</f>
      </c>
      <c r="N1164" s="24"/>
      <c r="O1164" s="22"/>
    </row>
    <row collapsed="false" customFormat="false" customHeight="false" hidden="false" ht="12.1" outlineLevel="0" r="1165">
      <c r="A1165" s="21" t="n">
        <v>45933.619861111</v>
      </c>
      <c r="B1165" s="22" t="s">
        <v>1063</v>
      </c>
      <c r="C1165" s="22" t="s">
        <v>1340</v>
      </c>
      <c r="D1165" s="22" t="s">
        <v>1063</v>
      </c>
      <c r="E1165" s="22" t="s">
        <v>1063</v>
      </c>
      <c r="F1165" s="22" t="s">
        <v>19</v>
      </c>
      <c r="G1165" s="23" t="n">
        <v>1</v>
      </c>
      <c r="H1165" s="24" t="n">
        <v>1</v>
      </c>
      <c r="I1165" s="24" t="n">
        <v>160</v>
      </c>
      <c r="J1165" s="24" t="n">
        <v>0</v>
      </c>
      <c r="K1165" s="24" t="n">
        <v>0</v>
      </c>
      <c r="L1165" s="24" t="n">
        <v>0</v>
      </c>
      <c r="M1165" s="6" t="s">
        <f>=I1165+J1165+K1165+L1165</f>
      </c>
      <c r="N1165" s="24"/>
      <c r="O1165" s="22"/>
    </row>
    <row collapsed="false" customFormat="false" customHeight="false" hidden="false" ht="12.1" outlineLevel="0" r="1166">
      <c r="A1166" s="25" t="n">
        <v>45933.619861111</v>
      </c>
      <c r="B1166" s="26" t="s">
        <v>1089</v>
      </c>
      <c r="C1166" s="26" t="s">
        <v>1341</v>
      </c>
      <c r="D1166" s="26" t="s">
        <v>1089</v>
      </c>
      <c r="E1166" s="26" t="s">
        <v>1089</v>
      </c>
      <c r="F1166" s="26" t="s">
        <v>19</v>
      </c>
      <c r="G1166" s="27" t="n">
        <v>1</v>
      </c>
      <c r="H1166" s="28" t="n">
        <v>-21</v>
      </c>
      <c r="I1166" s="28" t="n">
        <v>-21</v>
      </c>
      <c r="J1166" s="28" t="n">
        <v>0</v>
      </c>
      <c r="K1166" s="28" t="n">
        <v>0</v>
      </c>
      <c r="L1166" s="28" t="n">
        <v>0</v>
      </c>
      <c r="M1166" s="6" t="s">
        <f>=I1166+J1166+K1166+L1166</f>
      </c>
      <c r="N1166" s="28"/>
      <c r="O1166" s="26"/>
    </row>
    <row collapsed="false" customFormat="false" customHeight="false" hidden="false" ht="12.1" outlineLevel="0" r="1167">
      <c r="A1167" s="21" t="n">
        <v>45936.445324074</v>
      </c>
      <c r="B1167" s="22" t="s">
        <v>1063</v>
      </c>
      <c r="C1167" s="22" t="s">
        <v>1174</v>
      </c>
      <c r="D1167" s="22" t="s">
        <v>1063</v>
      </c>
      <c r="E1167" s="22" t="s">
        <v>1063</v>
      </c>
      <c r="F1167" s="22" t="s">
        <v>19</v>
      </c>
      <c r="G1167" s="23" t="n">
        <v>1</v>
      </c>
      <c r="H1167" s="24" t="n">
        <v>1</v>
      </c>
      <c r="I1167" s="24" t="n">
        <v>32.96</v>
      </c>
      <c r="J1167" s="24" t="n">
        <v>0</v>
      </c>
      <c r="K1167" s="24" t="n">
        <v>0</v>
      </c>
      <c r="L1167" s="24" t="n">
        <v>0</v>
      </c>
      <c r="M1167" s="6" t="s">
        <f>=I1167+J1167+K1167+L1167</f>
      </c>
      <c r="N1167" s="24"/>
      <c r="O1167" s="22"/>
    </row>
    <row collapsed="false" customFormat="false" customHeight="false" hidden="false" ht="12.1" outlineLevel="0" r="1168">
      <c r="A1168" s="21" t="n">
        <v>45937.428715278</v>
      </c>
      <c r="B1168" s="22" t="s">
        <v>1063</v>
      </c>
      <c r="C1168" s="22" t="s">
        <v>1318</v>
      </c>
      <c r="D1168" s="22" t="s">
        <v>1063</v>
      </c>
      <c r="E1168" s="22" t="s">
        <v>1063</v>
      </c>
      <c r="F1168" s="22" t="s">
        <v>19</v>
      </c>
      <c r="G1168" s="23" t="n">
        <v>1</v>
      </c>
      <c r="H1168" s="24" t="n">
        <v>1</v>
      </c>
      <c r="I1168" s="24" t="n">
        <v>19.11</v>
      </c>
      <c r="J1168" s="24" t="n">
        <v>0</v>
      </c>
      <c r="K1168" s="24" t="n">
        <v>0</v>
      </c>
      <c r="L1168" s="24" t="n">
        <v>0</v>
      </c>
      <c r="M1168" s="6" t="s">
        <f>=I1168+J1168+K1168+L1168</f>
      </c>
      <c r="N1168" s="24"/>
      <c r="O1168" s="22"/>
    </row>
    <row collapsed="false" customFormat="false" customHeight="false" hidden="false" ht="12.1" outlineLevel="0" r="1169">
      <c r="A1169" s="21" t="n">
        <v>45937.456678241</v>
      </c>
      <c r="B1169" s="22" t="s">
        <v>1063</v>
      </c>
      <c r="C1169" s="22" t="s">
        <v>1329</v>
      </c>
      <c r="D1169" s="22" t="s">
        <v>1063</v>
      </c>
      <c r="E1169" s="22" t="s">
        <v>1063</v>
      </c>
      <c r="F1169" s="22" t="s">
        <v>19</v>
      </c>
      <c r="G1169" s="23" t="n">
        <v>1</v>
      </c>
      <c r="H1169" s="24" t="n">
        <v>1</v>
      </c>
      <c r="I1169" s="24" t="n">
        <v>3.28</v>
      </c>
      <c r="J1169" s="24" t="n">
        <v>0</v>
      </c>
      <c r="K1169" s="24" t="n">
        <v>0</v>
      </c>
      <c r="L1169" s="24" t="n">
        <v>0</v>
      </c>
      <c r="M1169" s="6" t="s">
        <f>=I1169+J1169+K1169+L1169</f>
      </c>
      <c r="N1169" s="24"/>
      <c r="O1169" s="22"/>
    </row>
    <row collapsed="false" customFormat="false" customHeight="false" hidden="false" ht="12.1" outlineLevel="0" r="1170">
      <c r="A1170" s="21" t="n">
        <v>45938.414837963</v>
      </c>
      <c r="B1170" s="22" t="s">
        <v>1063</v>
      </c>
      <c r="C1170" s="22" t="s">
        <v>1320</v>
      </c>
      <c r="D1170" s="22" t="s">
        <v>1063</v>
      </c>
      <c r="E1170" s="22" t="s">
        <v>1063</v>
      </c>
      <c r="F1170" s="22" t="s">
        <v>19</v>
      </c>
      <c r="G1170" s="23" t="n">
        <v>1</v>
      </c>
      <c r="H1170" s="24" t="n">
        <v>1</v>
      </c>
      <c r="I1170" s="24" t="n">
        <v>245</v>
      </c>
      <c r="J1170" s="24" t="n">
        <v>0</v>
      </c>
      <c r="K1170" s="24" t="n">
        <v>0</v>
      </c>
      <c r="L1170" s="24" t="n">
        <v>0</v>
      </c>
      <c r="M1170" s="6" t="s">
        <f>=I1170+J1170+K1170+L1170</f>
      </c>
      <c r="N1170" s="24"/>
      <c r="O1170" s="22"/>
    </row>
    <row collapsed="false" customFormat="false" customHeight="false" hidden="false" ht="12.1" outlineLevel="0" r="1171">
      <c r="A1171" s="25" t="n">
        <v>45938.414837963</v>
      </c>
      <c r="B1171" s="26" t="s">
        <v>1089</v>
      </c>
      <c r="C1171" s="26" t="s">
        <v>1321</v>
      </c>
      <c r="D1171" s="26" t="s">
        <v>1089</v>
      </c>
      <c r="E1171" s="26" t="s">
        <v>1089</v>
      </c>
      <c r="F1171" s="26" t="s">
        <v>19</v>
      </c>
      <c r="G1171" s="27" t="n">
        <v>1</v>
      </c>
      <c r="H1171" s="28" t="n">
        <v>-32</v>
      </c>
      <c r="I1171" s="28" t="n">
        <v>-32</v>
      </c>
      <c r="J1171" s="28" t="n">
        <v>0</v>
      </c>
      <c r="K1171" s="28" t="n">
        <v>0</v>
      </c>
      <c r="L1171" s="28" t="n">
        <v>0</v>
      </c>
      <c r="M1171" s="6" t="s">
        <f>=I1171+J1171+K1171+L1171</f>
      </c>
      <c r="N1171" s="28"/>
      <c r="O1171" s="26"/>
    </row>
    <row collapsed="false" customFormat="false" customHeight="false" hidden="false" ht="12.1" outlineLevel="0" r="1172">
      <c r="A1172" s="21" t="n">
        <v>45938.774189815</v>
      </c>
      <c r="B1172" s="22" t="s">
        <v>1063</v>
      </c>
      <c r="C1172" s="22" t="s">
        <v>1302</v>
      </c>
      <c r="D1172" s="22" t="s">
        <v>1063</v>
      </c>
      <c r="E1172" s="22" t="s">
        <v>1063</v>
      </c>
      <c r="F1172" s="22" t="s">
        <v>19</v>
      </c>
      <c r="G1172" s="23" t="n">
        <v>1</v>
      </c>
      <c r="H1172" s="24" t="n">
        <v>1</v>
      </c>
      <c r="I1172" s="24" t="n">
        <v>598.4</v>
      </c>
      <c r="J1172" s="24" t="n">
        <v>0</v>
      </c>
      <c r="K1172" s="24" t="n">
        <v>0</v>
      </c>
      <c r="L1172" s="24" t="n">
        <v>0</v>
      </c>
      <c r="M1172" s="6" t="s">
        <f>=I1172+J1172+K1172+L1172</f>
      </c>
      <c r="N1172" s="24"/>
      <c r="O1172" s="22"/>
    </row>
    <row collapsed="false" customFormat="false" customHeight="false" hidden="false" ht="12.1" outlineLevel="0" r="1173">
      <c r="A1173" s="21" t="n">
        <v>45939.532083333</v>
      </c>
      <c r="B1173" s="22" t="s">
        <v>1063</v>
      </c>
      <c r="C1173" s="22" t="s">
        <v>1133</v>
      </c>
      <c r="D1173" s="22" t="s">
        <v>1063</v>
      </c>
      <c r="E1173" s="22" t="s">
        <v>1063</v>
      </c>
      <c r="F1173" s="22" t="s">
        <v>19</v>
      </c>
      <c r="G1173" s="23" t="n">
        <v>1</v>
      </c>
      <c r="H1173" s="24" t="n">
        <v>1</v>
      </c>
      <c r="I1173" s="24" t="n">
        <v>550.25</v>
      </c>
      <c r="J1173" s="24" t="n">
        <v>0</v>
      </c>
      <c r="K1173" s="24" t="n">
        <v>0</v>
      </c>
      <c r="L1173" s="24" t="n">
        <v>0</v>
      </c>
      <c r="M1173" s="6" t="s">
        <f>=I1173+J1173+K1173+L1173</f>
      </c>
      <c r="N1173" s="24"/>
      <c r="O1173" s="22"/>
    </row>
    <row collapsed="false" customFormat="false" customHeight="false" hidden="false" ht="12.1" outlineLevel="0" r="1174">
      <c r="A1174" s="25" t="n">
        <v>45939.607627315</v>
      </c>
      <c r="B1174" s="26" t="s">
        <v>1089</v>
      </c>
      <c r="C1174" s="26" t="s">
        <v>1316</v>
      </c>
      <c r="D1174" s="26" t="s">
        <v>1089</v>
      </c>
      <c r="E1174" s="26" t="s">
        <v>1089</v>
      </c>
      <c r="F1174" s="26" t="s">
        <v>19</v>
      </c>
      <c r="G1174" s="27" t="n">
        <v>1</v>
      </c>
      <c r="H1174" s="28" t="n">
        <v>-21</v>
      </c>
      <c r="I1174" s="28" t="n">
        <v>-21</v>
      </c>
      <c r="J1174" s="28" t="n">
        <v>0</v>
      </c>
      <c r="K1174" s="28" t="n">
        <v>0</v>
      </c>
      <c r="L1174" s="28" t="n">
        <v>0</v>
      </c>
      <c r="M1174" s="6" t="s">
        <f>=I1174+J1174+K1174+L1174</f>
      </c>
      <c r="N1174" s="28"/>
      <c r="O1174" s="26"/>
    </row>
    <row collapsed="false" customFormat="false" customHeight="false" hidden="false" ht="12.1" outlineLevel="0" r="1175">
      <c r="A1175" s="21" t="n">
        <v>45939.607627315</v>
      </c>
      <c r="B1175" s="22" t="s">
        <v>1063</v>
      </c>
      <c r="C1175" s="22" t="s">
        <v>1315</v>
      </c>
      <c r="D1175" s="22" t="s">
        <v>1063</v>
      </c>
      <c r="E1175" s="22" t="s">
        <v>1063</v>
      </c>
      <c r="F1175" s="22" t="s">
        <v>19</v>
      </c>
      <c r="G1175" s="23" t="n">
        <v>1</v>
      </c>
      <c r="H1175" s="24" t="n">
        <v>1</v>
      </c>
      <c r="I1175" s="24" t="n">
        <v>166.1</v>
      </c>
      <c r="J1175" s="24" t="n">
        <v>0</v>
      </c>
      <c r="K1175" s="24" t="n">
        <v>0</v>
      </c>
      <c r="L1175" s="24" t="n">
        <v>0</v>
      </c>
      <c r="M1175" s="6" t="s">
        <f>=I1175+J1175+K1175+L1175</f>
      </c>
      <c r="N1175" s="24"/>
      <c r="O1175" s="22"/>
    </row>
    <row collapsed="false" customFormat="false" customHeight="false" hidden="false" ht="12.1" outlineLevel="0" r="1176">
      <c r="A1176" s="21" t="n">
        <v>45943.536006944</v>
      </c>
      <c r="B1176" s="22" t="s">
        <v>1063</v>
      </c>
      <c r="C1176" s="22" t="s">
        <v>1314</v>
      </c>
      <c r="D1176" s="22" t="s">
        <v>1063</v>
      </c>
      <c r="E1176" s="22" t="s">
        <v>1063</v>
      </c>
      <c r="F1176" s="22" t="s">
        <v>19</v>
      </c>
      <c r="G1176" s="23" t="n">
        <v>1</v>
      </c>
      <c r="H1176" s="24" t="n">
        <v>1</v>
      </c>
      <c r="I1176" s="24" t="n">
        <v>16.18</v>
      </c>
      <c r="J1176" s="24" t="n">
        <v>0</v>
      </c>
      <c r="K1176" s="24" t="n">
        <v>0</v>
      </c>
      <c r="L1176" s="24" t="n">
        <v>0</v>
      </c>
      <c r="M1176" s="6" t="s">
        <f>=I1176+J1176+K1176+L1176</f>
      </c>
      <c r="N1176" s="24"/>
      <c r="O1176" s="22"/>
    </row>
    <row collapsed="false" customFormat="false" customHeight="false" hidden="false" ht="12.1" outlineLevel="0" r="1177">
      <c r="A1177" s="21" t="n">
        <v>45945.429872685</v>
      </c>
      <c r="B1177" s="22" t="s">
        <v>1063</v>
      </c>
      <c r="C1177" s="22" t="s">
        <v>1304</v>
      </c>
      <c r="D1177" s="22" t="s">
        <v>1063</v>
      </c>
      <c r="E1177" s="22" t="s">
        <v>1063</v>
      </c>
      <c r="F1177" s="22" t="s">
        <v>19</v>
      </c>
      <c r="G1177" s="23" t="n">
        <v>1</v>
      </c>
      <c r="H1177" s="24" t="n">
        <v>1</v>
      </c>
      <c r="I1177" s="24" t="n">
        <v>49.86</v>
      </c>
      <c r="J1177" s="24" t="n">
        <v>0</v>
      </c>
      <c r="K1177" s="24" t="n">
        <v>0</v>
      </c>
      <c r="L1177" s="24" t="n">
        <v>0</v>
      </c>
      <c r="M1177" s="6" t="s">
        <f>=I1177+J1177+K1177+L1177</f>
      </c>
      <c r="N1177" s="24"/>
      <c r="O1177" s="22"/>
    </row>
    <row collapsed="false" customFormat="false" customHeight="false" hidden="false" ht="12.1" outlineLevel="0" r="1178">
      <c r="A1178" s="21" t="n">
        <v>45945.515023148</v>
      </c>
      <c r="B1178" s="22" t="s">
        <v>1063</v>
      </c>
      <c r="C1178" s="22" t="s">
        <v>1311</v>
      </c>
      <c r="D1178" s="22" t="s">
        <v>1063</v>
      </c>
      <c r="E1178" s="22" t="s">
        <v>1063</v>
      </c>
      <c r="F1178" s="22" t="s">
        <v>19</v>
      </c>
      <c r="G1178" s="23" t="n">
        <v>1</v>
      </c>
      <c r="H1178" s="24" t="n">
        <v>1</v>
      </c>
      <c r="I1178" s="24" t="n">
        <v>708.5</v>
      </c>
      <c r="J1178" s="24" t="n">
        <v>0</v>
      </c>
      <c r="K1178" s="24" t="n">
        <v>0</v>
      </c>
      <c r="L1178" s="24" t="n">
        <v>0</v>
      </c>
      <c r="M1178" s="6" t="s">
        <f>=I1178+J1178+K1178+L1178</f>
      </c>
      <c r="N1178" s="24"/>
      <c r="O1178" s="22"/>
    </row>
    <row collapsed="false" customFormat="false" customHeight="false" hidden="false" ht="12.1" outlineLevel="0" r="1179">
      <c r="A1179" s="25" t="n">
        <v>45945.515023148</v>
      </c>
      <c r="B1179" s="26" t="s">
        <v>1089</v>
      </c>
      <c r="C1179" s="26" t="s">
        <v>1310</v>
      </c>
      <c r="D1179" s="26" t="s">
        <v>1089</v>
      </c>
      <c r="E1179" s="26" t="s">
        <v>1089</v>
      </c>
      <c r="F1179" s="26" t="s">
        <v>19</v>
      </c>
      <c r="G1179" s="27" t="n">
        <v>1</v>
      </c>
      <c r="H1179" s="28" t="n">
        <v>-92</v>
      </c>
      <c r="I1179" s="28" t="n">
        <v>-92</v>
      </c>
      <c r="J1179" s="28" t="n">
        <v>0</v>
      </c>
      <c r="K1179" s="28" t="n">
        <v>0</v>
      </c>
      <c r="L1179" s="28" t="n">
        <v>0</v>
      </c>
      <c r="M1179" s="6" t="s">
        <f>=I1179+J1179+K1179+L1179</f>
      </c>
      <c r="N1179" s="28"/>
      <c r="O1179" s="26"/>
    </row>
    <row collapsed="false" customFormat="false" customHeight="false" hidden="false" ht="12.1" outlineLevel="0" r="1180">
      <c r="A1180" s="21" t="n">
        <v>45946.457615741</v>
      </c>
      <c r="B1180" s="22" t="s">
        <v>1063</v>
      </c>
      <c r="C1180" s="22" t="s">
        <v>1256</v>
      </c>
      <c r="D1180" s="22" t="s">
        <v>1063</v>
      </c>
      <c r="E1180" s="22" t="s">
        <v>1063</v>
      </c>
      <c r="F1180" s="22" t="s">
        <v>19</v>
      </c>
      <c r="G1180" s="23" t="n">
        <v>1</v>
      </c>
      <c r="H1180" s="24" t="n">
        <v>1</v>
      </c>
      <c r="I1180" s="24" t="n">
        <v>26.18</v>
      </c>
      <c r="J1180" s="24" t="n">
        <v>0</v>
      </c>
      <c r="K1180" s="24" t="n">
        <v>0</v>
      </c>
      <c r="L1180" s="24" t="n">
        <v>0</v>
      </c>
      <c r="M1180" s="6" t="s">
        <f>=I1180+J1180+K1180+L1180</f>
      </c>
      <c r="N1180" s="24"/>
      <c r="O1180" s="22"/>
    </row>
    <row collapsed="false" customFormat="false" customHeight="false" hidden="false" ht="12.1" outlineLevel="0" r="1181">
      <c r="A1181" s="21" t="n">
        <v>45946.480347222</v>
      </c>
      <c r="B1181" s="22" t="s">
        <v>1063</v>
      </c>
      <c r="C1181" s="22" t="s">
        <v>1178</v>
      </c>
      <c r="D1181" s="22" t="s">
        <v>1063</v>
      </c>
      <c r="E1181" s="22" t="s">
        <v>1063</v>
      </c>
      <c r="F1181" s="22" t="s">
        <v>19</v>
      </c>
      <c r="G1181" s="23" t="n">
        <v>1</v>
      </c>
      <c r="H1181" s="24" t="n">
        <v>1</v>
      </c>
      <c r="I1181" s="24" t="n">
        <v>495.95</v>
      </c>
      <c r="J1181" s="24" t="n">
        <v>0</v>
      </c>
      <c r="K1181" s="24" t="n">
        <v>0</v>
      </c>
      <c r="L1181" s="24" t="n">
        <v>0</v>
      </c>
      <c r="M1181" s="6" t="s">
        <f>=I1181+J1181+K1181+L1181</f>
      </c>
      <c r="N1181" s="24"/>
      <c r="O1181" s="22"/>
    </row>
    <row collapsed="false" customFormat="false" customHeight="false" hidden="false" ht="12.1" outlineLevel="0" r="1182">
      <c r="A1182" s="21" t="n">
        <v>45946.490439815</v>
      </c>
      <c r="B1182" s="22" t="s">
        <v>1063</v>
      </c>
      <c r="C1182" s="22" t="s">
        <v>1305</v>
      </c>
      <c r="D1182" s="22" t="s">
        <v>1063</v>
      </c>
      <c r="E1182" s="22" t="s">
        <v>1063</v>
      </c>
      <c r="F1182" s="22" t="s">
        <v>19</v>
      </c>
      <c r="G1182" s="23" t="n">
        <v>1</v>
      </c>
      <c r="H1182" s="24" t="n">
        <v>1</v>
      </c>
      <c r="I1182" s="24" t="n">
        <v>97.23</v>
      </c>
      <c r="J1182" s="24" t="n">
        <v>0</v>
      </c>
      <c r="K1182" s="24" t="n">
        <v>0</v>
      </c>
      <c r="L1182" s="24" t="n">
        <v>0</v>
      </c>
      <c r="M1182" s="6" t="s">
        <f>=I1182+J1182+K1182+L1182</f>
      </c>
      <c r="N1182" s="24"/>
      <c r="O1182" s="22"/>
    </row>
    <row collapsed="false" customFormat="false" customHeight="false" hidden="false" ht="12.1" outlineLevel="0" r="1183">
      <c r="A1183" s="21" t="n">
        <v>45947.439988426</v>
      </c>
      <c r="B1183" s="22" t="s">
        <v>1063</v>
      </c>
      <c r="C1183" s="22" t="s">
        <v>1332</v>
      </c>
      <c r="D1183" s="22" t="s">
        <v>1063</v>
      </c>
      <c r="E1183" s="22" t="s">
        <v>1063</v>
      </c>
      <c r="F1183" s="22" t="s">
        <v>19</v>
      </c>
      <c r="G1183" s="23" t="n">
        <v>1</v>
      </c>
      <c r="H1183" s="24" t="n">
        <v>1</v>
      </c>
      <c r="I1183" s="24" t="n">
        <v>86.26</v>
      </c>
      <c r="J1183" s="24" t="n">
        <v>0</v>
      </c>
      <c r="K1183" s="24" t="n">
        <v>0</v>
      </c>
      <c r="L1183" s="24" t="n">
        <v>0</v>
      </c>
      <c r="M1183" s="6" t="s">
        <f>=I1183+J1183+K1183+L1183</f>
      </c>
      <c r="N1183" s="24"/>
      <c r="O1183" s="22"/>
    </row>
    <row collapsed="false" customFormat="false" customHeight="false" hidden="false" ht="12.1" outlineLevel="0" r="1184">
      <c r="A1184" s="21" t="n">
        <v>45951.516770833</v>
      </c>
      <c r="B1184" s="22" t="s">
        <v>1063</v>
      </c>
      <c r="C1184" s="22" t="s">
        <v>1322</v>
      </c>
      <c r="D1184" s="22" t="s">
        <v>1063</v>
      </c>
      <c r="E1184" s="22" t="s">
        <v>1063</v>
      </c>
      <c r="F1184" s="22" t="s">
        <v>19</v>
      </c>
      <c r="G1184" s="23" t="n">
        <v>1</v>
      </c>
      <c r="H1184" s="24" t="n">
        <v>1</v>
      </c>
      <c r="I1184" s="24" t="n">
        <v>20.96</v>
      </c>
      <c r="J1184" s="24" t="n">
        <v>0</v>
      </c>
      <c r="K1184" s="24" t="n">
        <v>0</v>
      </c>
      <c r="L1184" s="24" t="n">
        <v>0</v>
      </c>
      <c r="M1184" s="6" t="s">
        <f>=I1184+J1184+K1184+L1184</f>
      </c>
      <c r="N1184" s="24"/>
      <c r="O1184" s="22"/>
    </row>
    <row collapsed="false" customFormat="false" customHeight="false" hidden="false" ht="12.1" outlineLevel="0" r="1185">
      <c r="A1185" s="21" t="n">
        <v>45951.586296296</v>
      </c>
      <c r="B1185" s="22" t="s">
        <v>1063</v>
      </c>
      <c r="C1185" s="22" t="s">
        <v>1088</v>
      </c>
      <c r="D1185" s="22" t="s">
        <v>1063</v>
      </c>
      <c r="E1185" s="22" t="s">
        <v>1063</v>
      </c>
      <c r="F1185" s="22" t="s">
        <v>19</v>
      </c>
      <c r="G1185" s="23" t="n">
        <v>1</v>
      </c>
      <c r="H1185" s="24" t="n">
        <v>1</v>
      </c>
      <c r="I1185" s="24" t="n">
        <v>35.5</v>
      </c>
      <c r="J1185" s="24" t="n">
        <v>0</v>
      </c>
      <c r="K1185" s="24" t="n">
        <v>0</v>
      </c>
      <c r="L1185" s="24" t="n">
        <v>0</v>
      </c>
      <c r="M1185" s="6" t="s">
        <f>=I1185+J1185+K1185+L1185</f>
      </c>
      <c r="N1185" s="24"/>
      <c r="O1185" s="22"/>
    </row>
    <row collapsed="false" customFormat="false" customHeight="false" hidden="false" ht="12.1" outlineLevel="0" r="1186">
      <c r="A1186" s="25" t="n">
        <v>45951.586296296</v>
      </c>
      <c r="B1186" s="26" t="s">
        <v>1089</v>
      </c>
      <c r="C1186" s="26" t="s">
        <v>1090</v>
      </c>
      <c r="D1186" s="26" t="s">
        <v>1089</v>
      </c>
      <c r="E1186" s="26" t="s">
        <v>1089</v>
      </c>
      <c r="F1186" s="26" t="s">
        <v>19</v>
      </c>
      <c r="G1186" s="27" t="n">
        <v>1</v>
      </c>
      <c r="H1186" s="28" t="n">
        <v>-5</v>
      </c>
      <c r="I1186" s="28" t="n">
        <v>-5</v>
      </c>
      <c r="J1186" s="28" t="n">
        <v>0</v>
      </c>
      <c r="K1186" s="28" t="n">
        <v>0</v>
      </c>
      <c r="L1186" s="28" t="n">
        <v>0</v>
      </c>
      <c r="M1186" s="6" t="s">
        <f>=I1186+J1186+K1186+L1186</f>
      </c>
      <c r="N1186" s="28"/>
      <c r="O1186" s="26"/>
    </row>
    <row collapsed="false" customFormat="false" customHeight="false" hidden="false" ht="12.1" outlineLevel="0" r="1187">
      <c r="A1187" s="21" t="n">
        <v>45951.62556713</v>
      </c>
      <c r="B1187" s="22" t="s">
        <v>1063</v>
      </c>
      <c r="C1187" s="22" t="s">
        <v>1303</v>
      </c>
      <c r="D1187" s="22" t="s">
        <v>1063</v>
      </c>
      <c r="E1187" s="22" t="s">
        <v>1063</v>
      </c>
      <c r="F1187" s="22" t="s">
        <v>19</v>
      </c>
      <c r="G1187" s="23" t="n">
        <v>1</v>
      </c>
      <c r="H1187" s="24" t="n">
        <v>1</v>
      </c>
      <c r="I1187" s="24" t="n">
        <v>16.05</v>
      </c>
      <c r="J1187" s="24" t="n">
        <v>0</v>
      </c>
      <c r="K1187" s="24" t="n">
        <v>0</v>
      </c>
      <c r="L1187" s="24" t="n">
        <v>0</v>
      </c>
      <c r="M1187" s="6" t="s">
        <f>=I1187+J1187+K1187+L1187</f>
      </c>
      <c r="N1187" s="24"/>
      <c r="O1187" s="22"/>
    </row>
    <row collapsed="false" customFormat="false" customHeight="false" hidden="false" ht="12.1" outlineLevel="0" r="1188">
      <c r="A1188" s="21" t="n">
        <v>45951.702118056</v>
      </c>
      <c r="B1188" s="22" t="s">
        <v>1063</v>
      </c>
      <c r="C1188" s="22" t="s">
        <v>1251</v>
      </c>
      <c r="D1188" s="22" t="s">
        <v>1063</v>
      </c>
      <c r="E1188" s="22" t="s">
        <v>1063</v>
      </c>
      <c r="F1188" s="22" t="s">
        <v>19</v>
      </c>
      <c r="G1188" s="23" t="n">
        <v>1</v>
      </c>
      <c r="H1188" s="24" t="n">
        <v>1</v>
      </c>
      <c r="I1188" s="24" t="n">
        <v>11.18</v>
      </c>
      <c r="J1188" s="24" t="n">
        <v>0</v>
      </c>
      <c r="K1188" s="24" t="n">
        <v>0</v>
      </c>
      <c r="L1188" s="24" t="n">
        <v>0</v>
      </c>
      <c r="M1188" s="6" t="s">
        <f>=I1188+J1188+K1188+L1188</f>
      </c>
      <c r="N1188" s="24"/>
      <c r="O1188" s="22"/>
    </row>
    <row collapsed="false" customFormat="false" customHeight="false" hidden="false" ht="12.1" outlineLevel="0" r="1189">
      <c r="A1189" s="21" t="n">
        <v>45952.417118056</v>
      </c>
      <c r="B1189" s="22" t="s">
        <v>1063</v>
      </c>
      <c r="C1189" s="22" t="s">
        <v>1195</v>
      </c>
      <c r="D1189" s="22" t="s">
        <v>1063</v>
      </c>
      <c r="E1189" s="22" t="s">
        <v>1063</v>
      </c>
      <c r="F1189" s="22" t="s">
        <v>19</v>
      </c>
      <c r="G1189" s="23" t="n">
        <v>1</v>
      </c>
      <c r="H1189" s="24" t="n">
        <v>1</v>
      </c>
      <c r="I1189" s="24" t="n">
        <v>17.31</v>
      </c>
      <c r="J1189" s="24" t="n">
        <v>0</v>
      </c>
      <c r="K1189" s="24" t="n">
        <v>0</v>
      </c>
      <c r="L1189" s="24" t="n">
        <v>0</v>
      </c>
      <c r="M1189" s="6" t="s">
        <f>=I1189+J1189+K1189+L1189</f>
      </c>
      <c r="N1189" s="24"/>
      <c r="O1189" s="22"/>
    </row>
    <row collapsed="false" customFormat="false" customHeight="false" hidden="false" ht="12.1" outlineLevel="0" r="1190">
      <c r="A1190" s="21" t="n">
        <v>45952.417939815</v>
      </c>
      <c r="B1190" s="22" t="s">
        <v>1073</v>
      </c>
      <c r="C1190" s="22" t="s">
        <v>1279</v>
      </c>
      <c r="D1190" s="22" t="s">
        <v>1073</v>
      </c>
      <c r="E1190" s="22" t="s">
        <v>1073</v>
      </c>
      <c r="F1190" s="22" t="s">
        <v>19</v>
      </c>
      <c r="G1190" s="23" t="n">
        <v>1</v>
      </c>
      <c r="H1190" s="24" t="n">
        <v>1</v>
      </c>
      <c r="I1190" s="24" t="n">
        <v>165</v>
      </c>
      <c r="J1190" s="24" t="n">
        <v>0</v>
      </c>
      <c r="K1190" s="24" t="n">
        <v>0</v>
      </c>
      <c r="L1190" s="24" t="n">
        <v>0</v>
      </c>
      <c r="M1190" s="6" t="s">
        <f>=I1190+J1190+K1190+L1190</f>
      </c>
      <c r="N1190" s="24"/>
      <c r="O1190" s="22"/>
    </row>
    <row collapsed="false" customFormat="false" customHeight="false" hidden="false" ht="12.1" outlineLevel="0" r="1191">
      <c r="A1191" s="21" t="n">
        <v>45953.430300926</v>
      </c>
      <c r="B1191" s="22" t="s">
        <v>1063</v>
      </c>
      <c r="C1191" s="22" t="s">
        <v>1180</v>
      </c>
      <c r="D1191" s="22" t="s">
        <v>1063</v>
      </c>
      <c r="E1191" s="22" t="s">
        <v>1063</v>
      </c>
      <c r="F1191" s="22" t="s">
        <v>19</v>
      </c>
      <c r="G1191" s="23" t="n">
        <v>1</v>
      </c>
      <c r="H1191" s="24" t="n">
        <v>1</v>
      </c>
      <c r="I1191" s="24" t="n">
        <v>47.7</v>
      </c>
      <c r="J1191" s="24" t="n">
        <v>0</v>
      </c>
      <c r="K1191" s="24" t="n">
        <v>0</v>
      </c>
      <c r="L1191" s="24" t="n">
        <v>0</v>
      </c>
      <c r="M1191" s="6" t="s">
        <f>=I1191+J1191+K1191+L1191</f>
      </c>
      <c r="N1191" s="24"/>
      <c r="O1191" s="22"/>
    </row>
    <row collapsed="false" customFormat="false" customHeight="false" hidden="false" ht="12.1" outlineLevel="0" r="1192">
      <c r="A1192" s="21" t="n">
        <v>45953.448703704</v>
      </c>
      <c r="B1192" s="22" t="s">
        <v>1063</v>
      </c>
      <c r="C1192" s="22" t="s">
        <v>1235</v>
      </c>
      <c r="D1192" s="22" t="s">
        <v>1063</v>
      </c>
      <c r="E1192" s="22" t="s">
        <v>1063</v>
      </c>
      <c r="F1192" s="22" t="s">
        <v>19</v>
      </c>
      <c r="G1192" s="23" t="n">
        <v>1</v>
      </c>
      <c r="H1192" s="24" t="n">
        <v>1</v>
      </c>
      <c r="I1192" s="24" t="n">
        <v>29.76</v>
      </c>
      <c r="J1192" s="24" t="n">
        <v>0</v>
      </c>
      <c r="K1192" s="24" t="n">
        <v>0</v>
      </c>
      <c r="L1192" s="24" t="n">
        <v>0</v>
      </c>
      <c r="M1192" s="6" t="s">
        <f>=I1192+J1192+K1192+L1192</f>
      </c>
      <c r="N1192" s="24"/>
      <c r="O1192" s="22"/>
    </row>
    <row collapsed="false" customFormat="false" customHeight="false" hidden="false" ht="12.1" outlineLevel="0" r="1193">
      <c r="A1193" s="21" t="n">
        <v>45958.449884259</v>
      </c>
      <c r="B1193" s="22" t="s">
        <v>1063</v>
      </c>
      <c r="C1193" s="22" t="s">
        <v>1323</v>
      </c>
      <c r="D1193" s="22" t="s">
        <v>1063</v>
      </c>
      <c r="E1193" s="22" t="s">
        <v>1063</v>
      </c>
      <c r="F1193" s="22" t="s">
        <v>19</v>
      </c>
      <c r="G1193" s="23" t="n">
        <v>1</v>
      </c>
      <c r="H1193" s="24" t="n">
        <v>1</v>
      </c>
      <c r="I1193" s="24" t="n">
        <v>19.48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4"/>
      <c r="O1193" s="22"/>
    </row>
    <row collapsed="false" customFormat="false" customHeight="false" hidden="false" ht="12.1" outlineLevel="0" r="1194">
      <c r="A1194" s="21" t="n">
        <v>45959.404884259</v>
      </c>
      <c r="B1194" s="22" t="s">
        <v>1063</v>
      </c>
      <c r="C1194" s="22" t="s">
        <v>1236</v>
      </c>
      <c r="D1194" s="22" t="s">
        <v>1063</v>
      </c>
      <c r="E1194" s="22" t="s">
        <v>1063</v>
      </c>
      <c r="F1194" s="22" t="s">
        <v>19</v>
      </c>
      <c r="G1194" s="23" t="n">
        <v>1</v>
      </c>
      <c r="H1194" s="24" t="n">
        <v>1</v>
      </c>
      <c r="I1194" s="24" t="n">
        <v>58.34</v>
      </c>
      <c r="J1194" s="24" t="n">
        <v>0</v>
      </c>
      <c r="K1194" s="24" t="n">
        <v>0</v>
      </c>
      <c r="L1194" s="24" t="n">
        <v>0</v>
      </c>
      <c r="M1194" s="6" t="s">
        <f>=I1194+J1194+K1194+L1194</f>
      </c>
      <c r="N1194" s="24"/>
      <c r="O1194" s="22"/>
    </row>
    <row collapsed="false" customFormat="false" customHeight="false" hidden="false" ht="12.1" outlineLevel="0" r="1195">
      <c r="A1195" s="21" t="n">
        <v>45959.524016204</v>
      </c>
      <c r="B1195" s="22" t="s">
        <v>1056</v>
      </c>
      <c r="C1195" s="22" t="s">
        <v>350</v>
      </c>
      <c r="D1195" s="22" t="s">
        <v>1056</v>
      </c>
      <c r="E1195" s="22" t="s">
        <v>1056</v>
      </c>
      <c r="F1195" s="22" t="s">
        <v>19</v>
      </c>
      <c r="G1195" s="23" t="n">
        <v>1</v>
      </c>
      <c r="H1195" s="24" t="n">
        <v>1</v>
      </c>
      <c r="I1195" s="24" t="n">
        <v>11820</v>
      </c>
      <c r="J1195" s="24" t="n">
        <v>0</v>
      </c>
      <c r="K1195" s="24" t="n">
        <v>0</v>
      </c>
      <c r="L1195" s="24" t="n">
        <v>0</v>
      </c>
      <c r="M1195" s="6" t="s">
        <f>=I1195+J1195+K1195+L1195</f>
      </c>
      <c r="N1195" s="24"/>
      <c r="O1195" s="22"/>
    </row>
    <row collapsed="false" customFormat="false" customHeight="false" hidden="false" ht="12.1" outlineLevel="0" r="1196">
      <c r="A1196" s="20" t="n">
        <v>45959.52712963</v>
      </c>
      <c r="B1196" s="16" t="s">
        <v>148</v>
      </c>
      <c r="C1196" s="16" t="s">
        <v>1342</v>
      </c>
      <c r="D1196" s="16" t="s">
        <v>912</v>
      </c>
      <c r="E1196" s="16" t="s">
        <v>85</v>
      </c>
      <c r="F1196" s="16" t="s">
        <v>19</v>
      </c>
      <c r="G1196" s="7" t="n">
        <v>1</v>
      </c>
      <c r="H1196" s="6" t="n">
        <v>84.43</v>
      </c>
      <c r="I1196" s="6" t="n">
        <v>-844.3</v>
      </c>
      <c r="J1196" s="6" t="n">
        <v>-38.27</v>
      </c>
      <c r="K1196" s="6" t="n">
        <v>-2.53</v>
      </c>
      <c r="L1196" s="6" t="n">
        <v>0</v>
      </c>
      <c r="M1196" s="6" t="s">
        <f>=I1196+J1196+K1196+L1196</f>
      </c>
      <c r="N1196" s="6"/>
      <c r="O1196" s="16"/>
    </row>
    <row collapsed="false" customFormat="false" customHeight="false" hidden="false" ht="12.1" outlineLevel="0" r="1197">
      <c r="A1197" s="20" t="n">
        <v>45959.527314815</v>
      </c>
      <c r="B1197" s="16" t="s">
        <v>103</v>
      </c>
      <c r="C1197" s="16" t="s">
        <v>1061</v>
      </c>
      <c r="D1197" s="16" t="s">
        <v>912</v>
      </c>
      <c r="E1197" s="16" t="s">
        <v>85</v>
      </c>
      <c r="F1197" s="16" t="s">
        <v>19</v>
      </c>
      <c r="G1197" s="7" t="n">
        <v>1</v>
      </c>
      <c r="H1197" s="6" t="n">
        <v>68.302</v>
      </c>
      <c r="I1197" s="6" t="n">
        <v>-683.02</v>
      </c>
      <c r="J1197" s="6" t="n">
        <v>-6.95</v>
      </c>
      <c r="K1197" s="6" t="n">
        <v>-2.05</v>
      </c>
      <c r="L1197" s="6" t="n">
        <v>0</v>
      </c>
      <c r="M1197" s="6" t="s">
        <f>=I1197+J1197+K1197+L1197</f>
      </c>
      <c r="N1197" s="6"/>
      <c r="O1197" s="16"/>
    </row>
    <row collapsed="false" customFormat="false" customHeight="false" hidden="false" ht="12.1" outlineLevel="0" r="1198">
      <c r="A1198" s="20" t="n">
        <v>45959.527465278</v>
      </c>
      <c r="B1198" s="16" t="s">
        <v>130</v>
      </c>
      <c r="C1198" s="16" t="s">
        <v>1193</v>
      </c>
      <c r="D1198" s="16" t="s">
        <v>912</v>
      </c>
      <c r="E1198" s="16" t="s">
        <v>85</v>
      </c>
      <c r="F1198" s="16" t="s">
        <v>19</v>
      </c>
      <c r="G1198" s="7" t="n">
        <v>1</v>
      </c>
      <c r="H1198" s="6" t="n">
        <v>83.951</v>
      </c>
      <c r="I1198" s="6" t="n">
        <v>-839.51</v>
      </c>
      <c r="J1198" s="6" t="n">
        <v>-11.1</v>
      </c>
      <c r="K1198" s="6" t="n">
        <v>-2.52</v>
      </c>
      <c r="L1198" s="6" t="n">
        <v>0</v>
      </c>
      <c r="M1198" s="6" t="s">
        <f>=I1198+J1198+K1198+L1198</f>
      </c>
      <c r="N1198" s="6"/>
      <c r="O1198" s="16"/>
    </row>
    <row collapsed="false" customFormat="false" customHeight="false" hidden="false" ht="12.1" outlineLevel="0" r="1199">
      <c r="A1199" s="20" t="n">
        <v>45959.527627315</v>
      </c>
      <c r="B1199" s="16" t="s">
        <v>154</v>
      </c>
      <c r="C1199" s="16" t="s">
        <v>1217</v>
      </c>
      <c r="D1199" s="16" t="s">
        <v>912</v>
      </c>
      <c r="E1199" s="16" t="s">
        <v>85</v>
      </c>
      <c r="F1199" s="16" t="s">
        <v>19</v>
      </c>
      <c r="G1199" s="7" t="n">
        <v>1</v>
      </c>
      <c r="H1199" s="6" t="n">
        <v>70.577</v>
      </c>
      <c r="I1199" s="6" t="n">
        <v>-705.77</v>
      </c>
      <c r="J1199" s="6" t="n">
        <v>-17.39</v>
      </c>
      <c r="K1199" s="6" t="n">
        <v>-2.12</v>
      </c>
      <c r="L1199" s="6" t="n">
        <v>0</v>
      </c>
      <c r="M1199" s="6" t="s">
        <f>=I1199+J1199+K1199+L1199</f>
      </c>
      <c r="N1199" s="6"/>
      <c r="O1199" s="16"/>
    </row>
    <row collapsed="false" customFormat="false" customHeight="false" hidden="false" ht="12.1" outlineLevel="0" r="1200">
      <c r="A1200" s="20" t="n">
        <v>45959.527847222</v>
      </c>
      <c r="B1200" s="16" t="s">
        <v>118</v>
      </c>
      <c r="C1200" s="16" t="s">
        <v>1192</v>
      </c>
      <c r="D1200" s="16" t="s">
        <v>912</v>
      </c>
      <c r="E1200" s="16" t="s">
        <v>85</v>
      </c>
      <c r="F1200" s="16" t="s">
        <v>19</v>
      </c>
      <c r="G1200" s="7" t="n">
        <v>1</v>
      </c>
      <c r="H1200" s="6" t="n">
        <v>77.792</v>
      </c>
      <c r="I1200" s="6" t="n">
        <v>-777.92</v>
      </c>
      <c r="J1200" s="6" t="n">
        <v>-40.34</v>
      </c>
      <c r="K1200" s="6" t="n">
        <v>-2.33</v>
      </c>
      <c r="L1200" s="6" t="n">
        <v>0</v>
      </c>
      <c r="M1200" s="6" t="s">
        <f>=I1200+J1200+K1200+L1200</f>
      </c>
      <c r="N1200" s="6"/>
      <c r="O1200" s="16"/>
    </row>
    <row collapsed="false" customFormat="false" customHeight="false" hidden="false" ht="12.1" outlineLevel="0" r="1201">
      <c r="A1201" s="20" t="n">
        <v>45959.528194444</v>
      </c>
      <c r="B1201" s="16" t="s">
        <v>136</v>
      </c>
      <c r="C1201" s="16" t="s">
        <v>1066</v>
      </c>
      <c r="D1201" s="16" t="s">
        <v>912</v>
      </c>
      <c r="E1201" s="16" t="s">
        <v>85</v>
      </c>
      <c r="F1201" s="16" t="s">
        <v>19</v>
      </c>
      <c r="G1201" s="7" t="n">
        <v>1</v>
      </c>
      <c r="H1201" s="6" t="n">
        <v>64.689</v>
      </c>
      <c r="I1201" s="6" t="n">
        <v>-646.89</v>
      </c>
      <c r="J1201" s="6" t="n">
        <v>-32.18</v>
      </c>
      <c r="K1201" s="6" t="n">
        <v>-1.94</v>
      </c>
      <c r="L1201" s="6" t="n">
        <v>0</v>
      </c>
      <c r="M1201" s="6" t="s">
        <f>=I1201+J1201+K1201+L1201</f>
      </c>
      <c r="N1201" s="6"/>
      <c r="O1201" s="16"/>
    </row>
    <row collapsed="false" customFormat="false" customHeight="false" hidden="false" ht="12.1" outlineLevel="0" r="1202">
      <c r="A1202" s="20" t="n">
        <v>45959.528356481</v>
      </c>
      <c r="B1202" s="16" t="s">
        <v>127</v>
      </c>
      <c r="C1202" s="16" t="s">
        <v>1099</v>
      </c>
      <c r="D1202" s="16" t="s">
        <v>912</v>
      </c>
      <c r="E1202" s="16" t="s">
        <v>85</v>
      </c>
      <c r="F1202" s="16" t="s">
        <v>19</v>
      </c>
      <c r="G1202" s="7" t="n">
        <v>1</v>
      </c>
      <c r="H1202" s="6" t="n">
        <v>69.238</v>
      </c>
      <c r="I1202" s="6" t="n">
        <v>-692.38</v>
      </c>
      <c r="J1202" s="6" t="n">
        <v>-6.12</v>
      </c>
      <c r="K1202" s="6" t="n">
        <v>-2.08</v>
      </c>
      <c r="L1202" s="6" t="n">
        <v>0</v>
      </c>
      <c r="M1202" s="6" t="s">
        <f>=I1202+J1202+K1202+L1202</f>
      </c>
      <c r="N1202" s="6"/>
      <c r="O1202" s="16"/>
    </row>
    <row collapsed="false" customFormat="false" customHeight="false" hidden="false" ht="12.1" outlineLevel="0" r="1203">
      <c r="A1203" s="20" t="n">
        <v>45959.529293981</v>
      </c>
      <c r="B1203" s="16" t="s">
        <v>145</v>
      </c>
      <c r="C1203" s="16" t="s">
        <v>1339</v>
      </c>
      <c r="D1203" s="16" t="s">
        <v>912</v>
      </c>
      <c r="E1203" s="16" t="s">
        <v>85</v>
      </c>
      <c r="F1203" s="16" t="s">
        <v>19</v>
      </c>
      <c r="G1203" s="7" t="n">
        <v>1</v>
      </c>
      <c r="H1203" s="6" t="n">
        <v>85.497</v>
      </c>
      <c r="I1203" s="6" t="n">
        <v>-854.97</v>
      </c>
      <c r="J1203" s="6" t="n">
        <v>-41.76</v>
      </c>
      <c r="K1203" s="6" t="n">
        <v>-2.56</v>
      </c>
      <c r="L1203" s="6" t="n">
        <v>0</v>
      </c>
      <c r="M1203" s="6" t="s">
        <f>=I1203+J1203+K1203+L1203</f>
      </c>
      <c r="N1203" s="6"/>
      <c r="O1203" s="16"/>
    </row>
    <row collapsed="false" customFormat="false" customHeight="false" hidden="false" ht="12.1" outlineLevel="0" r="1204">
      <c r="A1204" s="20" t="n">
        <v>45959.529571759</v>
      </c>
      <c r="B1204" s="16" t="s">
        <v>133</v>
      </c>
      <c r="C1204" s="16" t="s">
        <v>1199</v>
      </c>
      <c r="D1204" s="16" t="s">
        <v>912</v>
      </c>
      <c r="E1204" s="16" t="s">
        <v>85</v>
      </c>
      <c r="F1204" s="16" t="s">
        <v>19</v>
      </c>
      <c r="G1204" s="7" t="n">
        <v>1</v>
      </c>
      <c r="H1204" s="6" t="n">
        <v>76.496</v>
      </c>
      <c r="I1204" s="6" t="n">
        <v>-764.96</v>
      </c>
      <c r="J1204" s="6" t="n">
        <v>-8.38</v>
      </c>
      <c r="K1204" s="6" t="n">
        <v>-2.29</v>
      </c>
      <c r="L1204" s="6" t="n">
        <v>0</v>
      </c>
      <c r="M1204" s="6" t="s">
        <f>=I1204+J1204+K1204+L1204</f>
      </c>
      <c r="N1204" s="6"/>
      <c r="O1204" s="16"/>
    </row>
    <row collapsed="false" customFormat="false" customHeight="false" hidden="false" ht="12.1" outlineLevel="0" r="1205">
      <c r="A1205" s="20" t="n">
        <v>45959.529756944</v>
      </c>
      <c r="B1205" s="16" t="s">
        <v>97</v>
      </c>
      <c r="C1205" s="16" t="s">
        <v>1284</v>
      </c>
      <c r="D1205" s="16" t="s">
        <v>912</v>
      </c>
      <c r="E1205" s="16" t="s">
        <v>85</v>
      </c>
      <c r="F1205" s="16" t="s">
        <v>19</v>
      </c>
      <c r="G1205" s="7" t="n">
        <v>1</v>
      </c>
      <c r="H1205" s="6" t="n">
        <v>86.238</v>
      </c>
      <c r="I1205" s="6" t="n">
        <v>-862.38</v>
      </c>
      <c r="J1205" s="6" t="n">
        <v>-11.84</v>
      </c>
      <c r="K1205" s="6" t="n">
        <v>-2.59</v>
      </c>
      <c r="L1205" s="6" t="n">
        <v>0</v>
      </c>
      <c r="M1205" s="6" t="s">
        <f>=I1205+J1205+K1205+L1205</f>
      </c>
      <c r="N1205" s="6"/>
      <c r="O1205" s="16"/>
    </row>
    <row collapsed="false" customFormat="false" customHeight="false" hidden="false" ht="12.1" outlineLevel="0" r="1206">
      <c r="A1206" s="20" t="n">
        <v>45959.53</v>
      </c>
      <c r="B1206" s="16" t="s">
        <v>148</v>
      </c>
      <c r="C1206" s="16" t="s">
        <v>1342</v>
      </c>
      <c r="D1206" s="16" t="s">
        <v>912</v>
      </c>
      <c r="E1206" s="16" t="s">
        <v>85</v>
      </c>
      <c r="F1206" s="16" t="s">
        <v>19</v>
      </c>
      <c r="G1206" s="7" t="n">
        <v>1</v>
      </c>
      <c r="H1206" s="6" t="n">
        <v>84.43</v>
      </c>
      <c r="I1206" s="6" t="n">
        <v>-844.3</v>
      </c>
      <c r="J1206" s="6" t="n">
        <v>-38.27</v>
      </c>
      <c r="K1206" s="6" t="n">
        <v>-2.53</v>
      </c>
      <c r="L1206" s="6" t="n">
        <v>0</v>
      </c>
      <c r="M1206" s="6" t="s">
        <f>=I1206+J1206+K1206+L1206</f>
      </c>
      <c r="N1206" s="6"/>
      <c r="O1206" s="16"/>
    </row>
    <row collapsed="false" customFormat="false" customHeight="false" hidden="false" ht="12.1" outlineLevel="0" r="1207">
      <c r="A1207" s="20" t="n">
        <v>45959.530173611</v>
      </c>
      <c r="B1207" s="16" t="s">
        <v>103</v>
      </c>
      <c r="C1207" s="16" t="s">
        <v>1061</v>
      </c>
      <c r="D1207" s="16" t="s">
        <v>912</v>
      </c>
      <c r="E1207" s="16" t="s">
        <v>85</v>
      </c>
      <c r="F1207" s="16" t="s">
        <v>19</v>
      </c>
      <c r="G1207" s="7" t="n">
        <v>1</v>
      </c>
      <c r="H1207" s="6" t="n">
        <v>68.299</v>
      </c>
      <c r="I1207" s="6" t="n">
        <v>-682.99</v>
      </c>
      <c r="J1207" s="6" t="n">
        <v>-6.95</v>
      </c>
      <c r="K1207" s="6" t="n">
        <v>-2.05</v>
      </c>
      <c r="L1207" s="6" t="n">
        <v>0</v>
      </c>
      <c r="M1207" s="6" t="s">
        <f>=I1207+J1207+K1207+L1207</f>
      </c>
      <c r="N1207" s="6"/>
      <c r="O1207" s="16"/>
    </row>
    <row collapsed="false" customFormat="false" customHeight="false" hidden="false" ht="12.1" outlineLevel="0" r="1208">
      <c r="A1208" s="20" t="n">
        <v>45959.530324074</v>
      </c>
      <c r="B1208" s="16" t="s">
        <v>130</v>
      </c>
      <c r="C1208" s="16" t="s">
        <v>1193</v>
      </c>
      <c r="D1208" s="16" t="s">
        <v>912</v>
      </c>
      <c r="E1208" s="16" t="s">
        <v>85</v>
      </c>
      <c r="F1208" s="16" t="s">
        <v>19</v>
      </c>
      <c r="G1208" s="7" t="n">
        <v>1</v>
      </c>
      <c r="H1208" s="6" t="n">
        <v>83.952</v>
      </c>
      <c r="I1208" s="6" t="n">
        <v>-839.52</v>
      </c>
      <c r="J1208" s="6" t="n">
        <v>-11.1</v>
      </c>
      <c r="K1208" s="6" t="n">
        <v>-2.52</v>
      </c>
      <c r="L1208" s="6" t="n">
        <v>0</v>
      </c>
      <c r="M1208" s="6" t="s">
        <f>=I1208+J1208+K1208+L1208</f>
      </c>
      <c r="N1208" s="6"/>
      <c r="O1208" s="16"/>
    </row>
    <row collapsed="false" customFormat="false" customHeight="false" hidden="false" ht="12.1" outlineLevel="0" r="1209">
      <c r="A1209" s="20" t="n">
        <v>45959.530474537</v>
      </c>
      <c r="B1209" s="16" t="s">
        <v>154</v>
      </c>
      <c r="C1209" s="16" t="s">
        <v>1217</v>
      </c>
      <c r="D1209" s="16" t="s">
        <v>912</v>
      </c>
      <c r="E1209" s="16" t="s">
        <v>85</v>
      </c>
      <c r="F1209" s="16" t="s">
        <v>19</v>
      </c>
      <c r="G1209" s="7" t="n">
        <v>1</v>
      </c>
      <c r="H1209" s="6" t="n">
        <v>70.573</v>
      </c>
      <c r="I1209" s="6" t="n">
        <v>-705.73</v>
      </c>
      <c r="J1209" s="6" t="n">
        <v>-17.39</v>
      </c>
      <c r="K1209" s="6" t="n">
        <v>-2.12</v>
      </c>
      <c r="L1209" s="6" t="n">
        <v>0</v>
      </c>
      <c r="M1209" s="6" t="s">
        <f>=I1209+J1209+K1209+L1209</f>
      </c>
      <c r="N1209" s="6"/>
      <c r="O1209" s="16"/>
    </row>
    <row collapsed="false" customFormat="false" customHeight="false" hidden="false" ht="12.1" outlineLevel="0" r="1210">
      <c r="A1210" s="20" t="n">
        <v>45959.530659722</v>
      </c>
      <c r="B1210" s="16" t="s">
        <v>118</v>
      </c>
      <c r="C1210" s="16" t="s">
        <v>1192</v>
      </c>
      <c r="D1210" s="16" t="s">
        <v>912</v>
      </c>
      <c r="E1210" s="16" t="s">
        <v>85</v>
      </c>
      <c r="F1210" s="16" t="s">
        <v>19</v>
      </c>
      <c r="G1210" s="7" t="n">
        <v>1</v>
      </c>
      <c r="H1210" s="6" t="n">
        <v>77.793</v>
      </c>
      <c r="I1210" s="6" t="n">
        <v>-777.93</v>
      </c>
      <c r="J1210" s="6" t="n">
        <v>-40.34</v>
      </c>
      <c r="K1210" s="6" t="n">
        <v>-2.33</v>
      </c>
      <c r="L1210" s="6" t="n">
        <v>0</v>
      </c>
      <c r="M1210" s="6" t="s">
        <f>=I1210+J1210+K1210+L1210</f>
      </c>
      <c r="N1210" s="6"/>
      <c r="O1210" s="16"/>
    </row>
    <row collapsed="false" customFormat="false" customHeight="false" hidden="false" ht="12.1" outlineLevel="0" r="1211">
      <c r="A1211" s="20" t="n">
        <v>45959.531030093</v>
      </c>
      <c r="B1211" s="16" t="s">
        <v>145</v>
      </c>
      <c r="C1211" s="16" t="s">
        <v>1339</v>
      </c>
      <c r="D1211" s="16" t="s">
        <v>912</v>
      </c>
      <c r="E1211" s="16" t="s">
        <v>85</v>
      </c>
      <c r="F1211" s="16" t="s">
        <v>19</v>
      </c>
      <c r="G1211" s="7" t="n">
        <v>1</v>
      </c>
      <c r="H1211" s="6" t="n">
        <v>85.497</v>
      </c>
      <c r="I1211" s="6" t="n">
        <v>-854.97</v>
      </c>
      <c r="J1211" s="6" t="n">
        <v>-41.76</v>
      </c>
      <c r="K1211" s="6" t="n">
        <v>-2.56</v>
      </c>
      <c r="L1211" s="6" t="n">
        <v>0</v>
      </c>
      <c r="M1211" s="6" t="s">
        <f>=I1211+J1211+K1211+L1211</f>
      </c>
      <c r="N1211" s="6"/>
      <c r="O1211" s="16"/>
    </row>
    <row collapsed="false" customFormat="false" customHeight="false" hidden="false" ht="12.1" outlineLevel="0" r="1212">
      <c r="A1212" s="20" t="n">
        <v>45959.531203704</v>
      </c>
      <c r="B1212" s="16" t="s">
        <v>133</v>
      </c>
      <c r="C1212" s="16" t="s">
        <v>1199</v>
      </c>
      <c r="D1212" s="16" t="s">
        <v>912</v>
      </c>
      <c r="E1212" s="16" t="s">
        <v>85</v>
      </c>
      <c r="F1212" s="16" t="s">
        <v>19</v>
      </c>
      <c r="G1212" s="7" t="n">
        <v>1</v>
      </c>
      <c r="H1212" s="6" t="n">
        <v>76.534</v>
      </c>
      <c r="I1212" s="6" t="n">
        <v>-765.34</v>
      </c>
      <c r="J1212" s="6" t="n">
        <v>-8.38</v>
      </c>
      <c r="K1212" s="6" t="n">
        <v>-2.3</v>
      </c>
      <c r="L1212" s="6" t="n">
        <v>0</v>
      </c>
      <c r="M1212" s="6" t="s">
        <f>=I1212+J1212+K1212+L1212</f>
      </c>
      <c r="N1212" s="6"/>
      <c r="O1212" s="16"/>
    </row>
    <row collapsed="false" customFormat="false" customHeight="false" hidden="false" ht="12.1" outlineLevel="0" r="1213">
      <c r="A1213" s="20" t="n">
        <v>45959.531377315</v>
      </c>
      <c r="B1213" s="16" t="s">
        <v>97</v>
      </c>
      <c r="C1213" s="16" t="s">
        <v>1284</v>
      </c>
      <c r="D1213" s="16" t="s">
        <v>912</v>
      </c>
      <c r="E1213" s="16" t="s">
        <v>85</v>
      </c>
      <c r="F1213" s="16" t="s">
        <v>19</v>
      </c>
      <c r="G1213" s="7" t="n">
        <v>1</v>
      </c>
      <c r="H1213" s="6" t="n">
        <v>86.234</v>
      </c>
      <c r="I1213" s="6" t="n">
        <v>-862.34</v>
      </c>
      <c r="J1213" s="6" t="n">
        <v>-11.84</v>
      </c>
      <c r="K1213" s="6" t="n">
        <v>-2.59</v>
      </c>
      <c r="L1213" s="6" t="n">
        <v>0</v>
      </c>
      <c r="M1213" s="6" t="s">
        <f>=I1213+J1213+K1213+L1213</f>
      </c>
      <c r="N1213" s="6"/>
      <c r="O1213" s="16"/>
    </row>
    <row collapsed="false" customFormat="false" customHeight="false" hidden="false" ht="12.1" outlineLevel="0" r="1214">
      <c r="A1214" s="20" t="n">
        <v>45959.531539352</v>
      </c>
      <c r="B1214" s="16" t="s">
        <v>148</v>
      </c>
      <c r="C1214" s="16" t="s">
        <v>1342</v>
      </c>
      <c r="D1214" s="16" t="s">
        <v>912</v>
      </c>
      <c r="E1214" s="16" t="s">
        <v>85</v>
      </c>
      <c r="F1214" s="16" t="s">
        <v>19</v>
      </c>
      <c r="G1214" s="7" t="n">
        <v>1</v>
      </c>
      <c r="H1214" s="6" t="n">
        <v>84.44</v>
      </c>
      <c r="I1214" s="6" t="n">
        <v>-844.4</v>
      </c>
      <c r="J1214" s="6" t="n">
        <v>-38.27</v>
      </c>
      <c r="K1214" s="6" t="n">
        <v>-2.53</v>
      </c>
      <c r="L1214" s="6" t="n">
        <v>0</v>
      </c>
      <c r="M1214" s="6" t="s">
        <f>=I1214+J1214+K1214+L1214</f>
      </c>
      <c r="N1214" s="6"/>
      <c r="O1214" s="16"/>
    </row>
    <row collapsed="false" customFormat="false" customHeight="false" hidden="false" ht="12.1" outlineLevel="0" r="1215">
      <c r="A1215" s="20" t="n">
        <v>45959.531701389</v>
      </c>
      <c r="B1215" s="16" t="s">
        <v>103</v>
      </c>
      <c r="C1215" s="16" t="s">
        <v>1061</v>
      </c>
      <c r="D1215" s="16" t="s">
        <v>912</v>
      </c>
      <c r="E1215" s="16" t="s">
        <v>85</v>
      </c>
      <c r="F1215" s="16" t="s">
        <v>19</v>
      </c>
      <c r="G1215" s="7" t="n">
        <v>1</v>
      </c>
      <c r="H1215" s="6" t="n">
        <v>68.295</v>
      </c>
      <c r="I1215" s="6" t="n">
        <v>-682.95</v>
      </c>
      <c r="J1215" s="6" t="n">
        <v>-6.9499999999999</v>
      </c>
      <c r="K1215" s="6" t="n">
        <v>-2.05</v>
      </c>
      <c r="L1215" s="6" t="n">
        <v>0</v>
      </c>
      <c r="M1215" s="6" t="s">
        <f>=I1215+J1215+K1215+L1215</f>
      </c>
      <c r="N1215" s="6"/>
      <c r="O1215" s="16"/>
    </row>
    <row collapsed="false" customFormat="false" customHeight="false" hidden="false" ht="12.1" outlineLevel="0" r="1216">
      <c r="A1216" s="21" t="n">
        <v>45959.532511574</v>
      </c>
      <c r="B1216" s="22" t="s">
        <v>1063</v>
      </c>
      <c r="C1216" s="22" t="s">
        <v>1117</v>
      </c>
      <c r="D1216" s="22" t="s">
        <v>1063</v>
      </c>
      <c r="E1216" s="22" t="s">
        <v>1063</v>
      </c>
      <c r="F1216" s="22" t="s">
        <v>19</v>
      </c>
      <c r="G1216" s="23" t="n">
        <v>1</v>
      </c>
      <c r="H1216" s="24" t="n">
        <v>1</v>
      </c>
      <c r="I1216" s="24" t="n">
        <v>28.22</v>
      </c>
      <c r="J1216" s="24" t="n">
        <v>0</v>
      </c>
      <c r="K1216" s="24" t="n">
        <v>0</v>
      </c>
      <c r="L1216" s="24" t="n">
        <v>0</v>
      </c>
      <c r="M1216" s="6" t="s">
        <f>=I1216+J1216+K1216+L1216</f>
      </c>
      <c r="N1216" s="24"/>
      <c r="O1216" s="22"/>
    </row>
    <row collapsed="false" customFormat="false" customHeight="false" hidden="false" ht="12.1" outlineLevel="0" r="1217">
      <c r="A1217" s="21" t="n">
        <v>45959.623564815</v>
      </c>
      <c r="B1217" s="22" t="s">
        <v>1063</v>
      </c>
      <c r="C1217" s="22" t="s">
        <v>1280</v>
      </c>
      <c r="D1217" s="22" t="s">
        <v>1063</v>
      </c>
      <c r="E1217" s="22" t="s">
        <v>1063</v>
      </c>
      <c r="F1217" s="22" t="s">
        <v>19</v>
      </c>
      <c r="G1217" s="23" t="n">
        <v>1</v>
      </c>
      <c r="H1217" s="24" t="n">
        <v>1</v>
      </c>
      <c r="I1217" s="24" t="n">
        <v>143.5</v>
      </c>
      <c r="J1217" s="24" t="n">
        <v>0</v>
      </c>
      <c r="K1217" s="24" t="n">
        <v>0</v>
      </c>
      <c r="L1217" s="24" t="n">
        <v>0</v>
      </c>
      <c r="M1217" s="6" t="s">
        <f>=I1217+J1217+K1217+L1217</f>
      </c>
      <c r="N1217" s="24"/>
      <c r="O1217" s="22"/>
    </row>
    <row collapsed="false" customFormat="false" customHeight="false" hidden="false" ht="12.1" outlineLevel="0" r="1218">
      <c r="A1218" s="25" t="n">
        <v>45959.623564815</v>
      </c>
      <c r="B1218" s="26" t="s">
        <v>1089</v>
      </c>
      <c r="C1218" s="26" t="s">
        <v>1281</v>
      </c>
      <c r="D1218" s="26" t="s">
        <v>1089</v>
      </c>
      <c r="E1218" s="26" t="s">
        <v>1089</v>
      </c>
      <c r="F1218" s="26" t="s">
        <v>19</v>
      </c>
      <c r="G1218" s="27" t="n">
        <v>1</v>
      </c>
      <c r="H1218" s="28" t="n">
        <v>-19</v>
      </c>
      <c r="I1218" s="28" t="n">
        <v>-19</v>
      </c>
      <c r="J1218" s="28" t="n">
        <v>0</v>
      </c>
      <c r="K1218" s="28" t="n">
        <v>0</v>
      </c>
      <c r="L1218" s="28" t="n">
        <v>0</v>
      </c>
      <c r="M1218" s="6" t="s">
        <f>=I1218+J1218+K1218+L1218</f>
      </c>
      <c r="N1218" s="28"/>
      <c r="O1218" s="26"/>
    </row>
    <row collapsed="false" customFormat="false" customHeight="false" hidden="false" ht="12.1" outlineLevel="0" r="1219">
      <c r="A1219" s="21" t="n">
        <v>45960.46224537</v>
      </c>
      <c r="B1219" s="22" t="s">
        <v>1063</v>
      </c>
      <c r="C1219" s="22" t="s">
        <v>1181</v>
      </c>
      <c r="D1219" s="22" t="s">
        <v>1063</v>
      </c>
      <c r="E1219" s="22" t="s">
        <v>1063</v>
      </c>
      <c r="F1219" s="22" t="s">
        <v>19</v>
      </c>
      <c r="G1219" s="23" t="n">
        <v>1</v>
      </c>
      <c r="H1219" s="24" t="n">
        <v>1</v>
      </c>
      <c r="I1219" s="24" t="n">
        <v>43.31</v>
      </c>
      <c r="J1219" s="24" t="n">
        <v>0</v>
      </c>
      <c r="K1219" s="24" t="n">
        <v>0</v>
      </c>
      <c r="L1219" s="24" t="n">
        <v>0</v>
      </c>
      <c r="M1219" s="6" t="s">
        <f>=I1219+J1219+K1219+L1219</f>
      </c>
      <c r="N1219" s="24"/>
      <c r="O1219" s="22"/>
    </row>
    <row collapsed="false" customFormat="false" customHeight="false" hidden="false" ht="12.1" outlineLevel="0" r="1220">
      <c r="A1220" s="21" t="n">
        <v>45962.470763889</v>
      </c>
      <c r="B1220" s="22" t="s">
        <v>1063</v>
      </c>
      <c r="C1220" s="22" t="s">
        <v>1258</v>
      </c>
      <c r="D1220" s="22" t="s">
        <v>1063</v>
      </c>
      <c r="E1220" s="22" t="s">
        <v>1063</v>
      </c>
      <c r="F1220" s="22" t="s">
        <v>19</v>
      </c>
      <c r="G1220" s="23" t="n">
        <v>1</v>
      </c>
      <c r="H1220" s="24" t="n">
        <v>1</v>
      </c>
      <c r="I1220" s="24" t="n">
        <v>23.86</v>
      </c>
      <c r="J1220" s="24" t="n">
        <v>0</v>
      </c>
      <c r="K1220" s="24" t="n">
        <v>0</v>
      </c>
      <c r="L1220" s="24" t="n">
        <v>0</v>
      </c>
      <c r="M1220" s="6" t="s">
        <f>=I1220+J1220+K1220+L1220</f>
      </c>
      <c r="N1220" s="24"/>
      <c r="O1220" s="22"/>
    </row>
    <row collapsed="false" customFormat="false" customHeight="false" hidden="false" ht="12.1" outlineLevel="0" r="1221">
      <c r="A1221" s="21" t="n">
        <v>45962.529548611</v>
      </c>
      <c r="B1221" s="22" t="s">
        <v>1063</v>
      </c>
      <c r="C1221" s="22" t="s">
        <v>1313</v>
      </c>
      <c r="D1221" s="22" t="s">
        <v>1063</v>
      </c>
      <c r="E1221" s="22" t="s">
        <v>1063</v>
      </c>
      <c r="F1221" s="22" t="s">
        <v>19</v>
      </c>
      <c r="G1221" s="23" t="n">
        <v>1</v>
      </c>
      <c r="H1221" s="24" t="n">
        <v>1</v>
      </c>
      <c r="I1221" s="24" t="n">
        <v>59.19</v>
      </c>
      <c r="J1221" s="24" t="n">
        <v>0</v>
      </c>
      <c r="K1221" s="24" t="n">
        <v>0</v>
      </c>
      <c r="L1221" s="24" t="n">
        <v>0</v>
      </c>
      <c r="M1221" s="6" t="s">
        <f>=I1221+J1221+K1221+L1221</f>
      </c>
      <c r="N1221" s="24"/>
      <c r="O1221" s="22"/>
    </row>
    <row collapsed="false" customFormat="false" customHeight="false" hidden="false" ht="12.1" outlineLevel="0" r="1222">
      <c r="A1222" s="21" t="n">
        <v>45962.531736111</v>
      </c>
      <c r="B1222" s="22" t="s">
        <v>1063</v>
      </c>
      <c r="C1222" s="22" t="s">
        <v>1207</v>
      </c>
      <c r="D1222" s="22" t="s">
        <v>1063</v>
      </c>
      <c r="E1222" s="22" t="s">
        <v>1063</v>
      </c>
      <c r="F1222" s="22" t="s">
        <v>19</v>
      </c>
      <c r="G1222" s="23" t="n">
        <v>1</v>
      </c>
      <c r="H1222" s="24" t="n">
        <v>1</v>
      </c>
      <c r="I1222" s="24" t="n">
        <v>15.87</v>
      </c>
      <c r="J1222" s="24" t="n">
        <v>0</v>
      </c>
      <c r="K1222" s="24" t="n">
        <v>0</v>
      </c>
      <c r="L1222" s="24" t="n">
        <v>0</v>
      </c>
      <c r="M1222" s="6" t="s">
        <f>=I1222+J1222+K1222+L1222</f>
      </c>
      <c r="N1222" s="24"/>
      <c r="O1222" s="22"/>
    </row>
    <row collapsed="false" customFormat="false" customHeight="false" hidden="false" ht="12.1" outlineLevel="0" r="1223">
      <c r="A1223" s="21" t="n">
        <v>45967.351053241</v>
      </c>
      <c r="B1223" s="22" t="s">
        <v>1063</v>
      </c>
      <c r="C1223" s="22" t="s">
        <v>1318</v>
      </c>
      <c r="D1223" s="22" t="s">
        <v>1063</v>
      </c>
      <c r="E1223" s="22" t="s">
        <v>1063</v>
      </c>
      <c r="F1223" s="22" t="s">
        <v>19</v>
      </c>
      <c r="G1223" s="23" t="n">
        <v>1</v>
      </c>
      <c r="H1223" s="24" t="n">
        <v>1</v>
      </c>
      <c r="I1223" s="24" t="n">
        <v>19.11</v>
      </c>
      <c r="J1223" s="24" t="n">
        <v>0</v>
      </c>
      <c r="K1223" s="24" t="n">
        <v>0</v>
      </c>
      <c r="L1223" s="24" t="n">
        <v>0</v>
      </c>
      <c r="M1223" s="6" t="s">
        <f>=I1223+J1223+K1223+L1223</f>
      </c>
      <c r="N1223" s="24"/>
      <c r="O1223" s="22"/>
    </row>
    <row collapsed="false" customFormat="false" customHeight="false" hidden="false" ht="12.1" outlineLevel="0" r="1224">
      <c r="A1224" s="21" t="n">
        <v>45967.44162037</v>
      </c>
      <c r="B1224" s="22" t="s">
        <v>1063</v>
      </c>
      <c r="C1224" s="22" t="s">
        <v>1329</v>
      </c>
      <c r="D1224" s="22" t="s">
        <v>1063</v>
      </c>
      <c r="E1224" s="22" t="s">
        <v>1063</v>
      </c>
      <c r="F1224" s="22" t="s">
        <v>19</v>
      </c>
      <c r="G1224" s="23" t="n">
        <v>1</v>
      </c>
      <c r="H1224" s="24" t="n">
        <v>1</v>
      </c>
      <c r="I1224" s="24" t="n">
        <v>3.28</v>
      </c>
      <c r="J1224" s="24" t="n">
        <v>0</v>
      </c>
      <c r="K1224" s="24" t="n">
        <v>0</v>
      </c>
      <c r="L1224" s="24" t="n">
        <v>0</v>
      </c>
      <c r="M1224" s="6" t="s">
        <f>=I1224+J1224+K1224+L1224</f>
      </c>
      <c r="N1224" s="24"/>
      <c r="O1224" s="22"/>
    </row>
    <row collapsed="false" customFormat="false" customHeight="false" hidden="false" ht="12.1" outlineLevel="0" r="1225">
      <c r="A1225" s="21" t="n">
        <v>45967.549467593</v>
      </c>
      <c r="B1225" s="22" t="s">
        <v>1063</v>
      </c>
      <c r="C1225" s="22" t="s">
        <v>1174</v>
      </c>
      <c r="D1225" s="22" t="s">
        <v>1063</v>
      </c>
      <c r="E1225" s="22" t="s">
        <v>1063</v>
      </c>
      <c r="F1225" s="22" t="s">
        <v>19</v>
      </c>
      <c r="G1225" s="23" t="n">
        <v>1</v>
      </c>
      <c r="H1225" s="24" t="n">
        <v>1</v>
      </c>
      <c r="I1225" s="24" t="n">
        <v>31.96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4"/>
      <c r="O1225" s="22"/>
    </row>
    <row collapsed="false" customFormat="false" customHeight="false" hidden="false" ht="12.1" outlineLevel="0" r="1226">
      <c r="A1226" s="21" t="n">
        <v>45971.501851852</v>
      </c>
      <c r="B1226" s="22" t="s">
        <v>1063</v>
      </c>
      <c r="C1226" s="22" t="s">
        <v>1317</v>
      </c>
      <c r="D1226" s="22" t="s">
        <v>1063</v>
      </c>
      <c r="E1226" s="22" t="s">
        <v>1063</v>
      </c>
      <c r="F1226" s="22" t="s">
        <v>19</v>
      </c>
      <c r="G1226" s="23" t="n">
        <v>1</v>
      </c>
      <c r="H1226" s="24" t="n">
        <v>1</v>
      </c>
      <c r="I1226" s="24" t="n">
        <v>90.76</v>
      </c>
      <c r="J1226" s="24" t="n">
        <v>0</v>
      </c>
      <c r="K1226" s="24" t="n">
        <v>0</v>
      </c>
      <c r="L1226" s="24" t="n">
        <v>0</v>
      </c>
      <c r="M1226" s="6" t="s">
        <f>=I1226+J1226+K1226+L1226</f>
      </c>
      <c r="N1226" s="24"/>
      <c r="O1226" s="22"/>
    </row>
    <row collapsed="false" customFormat="false" customHeight="false" hidden="false" ht="12.1" outlineLevel="0" r="1227">
      <c r="A1227" s="21" t="n">
        <v>45972.486145833</v>
      </c>
      <c r="B1227" s="22" t="s">
        <v>1063</v>
      </c>
      <c r="C1227" s="22" t="s">
        <v>1314</v>
      </c>
      <c r="D1227" s="22" t="s">
        <v>1063</v>
      </c>
      <c r="E1227" s="22" t="s">
        <v>1063</v>
      </c>
      <c r="F1227" s="22" t="s">
        <v>19</v>
      </c>
      <c r="G1227" s="23" t="n">
        <v>1</v>
      </c>
      <c r="H1227" s="24" t="n">
        <v>1</v>
      </c>
      <c r="I1227" s="24" t="n">
        <v>15.67</v>
      </c>
      <c r="J1227" s="24" t="n">
        <v>0</v>
      </c>
      <c r="K1227" s="24" t="n">
        <v>0</v>
      </c>
      <c r="L1227" s="24" t="n">
        <v>0</v>
      </c>
      <c r="M1227" s="6" t="s">
        <f>=I1227+J1227+K1227+L1227</f>
      </c>
      <c r="N1227" s="24"/>
      <c r="O1227" s="22"/>
    </row>
    <row collapsed="false" customFormat="false" customHeight="false" hidden="false" ht="12.1" outlineLevel="0" r="1228">
      <c r="A1228" s="21" t="n">
        <v>45974.418298611</v>
      </c>
      <c r="B1228" s="22" t="s">
        <v>1063</v>
      </c>
      <c r="C1228" s="22" t="s">
        <v>1102</v>
      </c>
      <c r="D1228" s="22" t="s">
        <v>1063</v>
      </c>
      <c r="E1228" s="22" t="s">
        <v>1063</v>
      </c>
      <c r="F1228" s="22" t="s">
        <v>19</v>
      </c>
      <c r="G1228" s="23" t="n">
        <v>1</v>
      </c>
      <c r="H1228" s="24" t="n">
        <v>1</v>
      </c>
      <c r="I1228" s="24" t="n">
        <v>1232.44</v>
      </c>
      <c r="J1228" s="24" t="n">
        <v>0</v>
      </c>
      <c r="K1228" s="24" t="n">
        <v>0</v>
      </c>
      <c r="L1228" s="24" t="n">
        <v>0</v>
      </c>
      <c r="M1228" s="6" t="s">
        <f>=I1228+J1228+K1228+L1228</f>
      </c>
      <c r="N1228" s="24"/>
      <c r="O1228" s="22"/>
    </row>
    <row collapsed="false" customFormat="false" customHeight="false" hidden="false" ht="12.1" outlineLevel="0" r="1229">
      <c r="A1229" s="21" t="n">
        <v>45974.471203704</v>
      </c>
      <c r="B1229" s="22" t="s">
        <v>1063</v>
      </c>
      <c r="C1229" s="22" t="s">
        <v>1214</v>
      </c>
      <c r="D1229" s="22" t="s">
        <v>1063</v>
      </c>
      <c r="E1229" s="22" t="s">
        <v>1063</v>
      </c>
      <c r="F1229" s="22" t="s">
        <v>19</v>
      </c>
      <c r="G1229" s="23" t="n">
        <v>1</v>
      </c>
      <c r="H1229" s="24" t="n">
        <v>1</v>
      </c>
      <c r="I1229" s="24" t="n">
        <v>4.67</v>
      </c>
      <c r="J1229" s="24" t="n">
        <v>0</v>
      </c>
      <c r="K1229" s="24" t="n">
        <v>0</v>
      </c>
      <c r="L1229" s="24" t="n">
        <v>0</v>
      </c>
      <c r="M1229" s="6" t="s">
        <f>=I1229+J1229+K1229+L1229</f>
      </c>
      <c r="N1229" s="24"/>
      <c r="O1229" s="22"/>
    </row>
    <row collapsed="false" customFormat="false" customHeight="false" hidden="false" ht="12.1" outlineLevel="0" r="1230">
      <c r="A1230" s="21" t="n">
        <v>45974.476319444</v>
      </c>
      <c r="B1230" s="22" t="s">
        <v>1073</v>
      </c>
      <c r="C1230" s="22" t="s">
        <v>1343</v>
      </c>
      <c r="D1230" s="22" t="s">
        <v>1073</v>
      </c>
      <c r="E1230" s="22" t="s">
        <v>1073</v>
      </c>
      <c r="F1230" s="22" t="s">
        <v>19</v>
      </c>
      <c r="G1230" s="23" t="n">
        <v>1</v>
      </c>
      <c r="H1230" s="24" t="n">
        <v>1</v>
      </c>
      <c r="I1230" s="24" t="n">
        <v>300</v>
      </c>
      <c r="J1230" s="24" t="n">
        <v>0</v>
      </c>
      <c r="K1230" s="24" t="n">
        <v>0</v>
      </c>
      <c r="L1230" s="24" t="n">
        <v>0</v>
      </c>
      <c r="M1230" s="6" t="s">
        <f>=I1230+J1230+K1230+L1230</f>
      </c>
      <c r="N1230" s="24"/>
      <c r="O1230" s="22"/>
    </row>
    <row collapsed="false" customFormat="false" customHeight="false" hidden="false" ht="12.1" outlineLevel="0" r="1231">
      <c r="A1231" s="21" t="n">
        <v>45980.444027778</v>
      </c>
      <c r="B1231" s="22" t="s">
        <v>1063</v>
      </c>
      <c r="C1231" s="22" t="s">
        <v>1303</v>
      </c>
      <c r="D1231" s="22" t="s">
        <v>1063</v>
      </c>
      <c r="E1231" s="22" t="s">
        <v>1063</v>
      </c>
      <c r="F1231" s="22" t="s">
        <v>19</v>
      </c>
      <c r="G1231" s="23" t="n">
        <v>1</v>
      </c>
      <c r="H1231" s="24" t="n">
        <v>1</v>
      </c>
      <c r="I1231" s="24" t="n">
        <v>15.35</v>
      </c>
      <c r="J1231" s="24" t="n">
        <v>0</v>
      </c>
      <c r="K1231" s="24" t="n">
        <v>0</v>
      </c>
      <c r="L1231" s="24" t="n">
        <v>0</v>
      </c>
      <c r="M1231" s="6" t="s">
        <f>=I1231+J1231+K1231+L1231</f>
      </c>
      <c r="N1231" s="24"/>
      <c r="O1231" s="22"/>
    </row>
    <row collapsed="false" customFormat="false" customHeight="false" hidden="false" ht="12.1" outlineLevel="0" r="1232">
      <c r="A1232" s="21" t="n">
        <v>45980.468483796</v>
      </c>
      <c r="B1232" s="22" t="s">
        <v>1063</v>
      </c>
      <c r="C1232" s="22" t="s">
        <v>1322</v>
      </c>
      <c r="D1232" s="22" t="s">
        <v>1063</v>
      </c>
      <c r="E1232" s="22" t="s">
        <v>1063</v>
      </c>
      <c r="F1232" s="22" t="s">
        <v>19</v>
      </c>
      <c r="G1232" s="23" t="n">
        <v>1</v>
      </c>
      <c r="H1232" s="24" t="n">
        <v>1</v>
      </c>
      <c r="I1232" s="24" t="n">
        <v>20.96</v>
      </c>
      <c r="J1232" s="24" t="n">
        <v>0</v>
      </c>
      <c r="K1232" s="24" t="n">
        <v>0</v>
      </c>
      <c r="L1232" s="24" t="n">
        <v>0</v>
      </c>
      <c r="M1232" s="6" t="s">
        <f>=I1232+J1232+K1232+L1232</f>
      </c>
      <c r="N1232" s="24"/>
      <c r="O1232" s="22"/>
    </row>
    <row collapsed="false" customFormat="false" customHeight="false" hidden="false" ht="12.1" outlineLevel="0" r="1233">
      <c r="A1233" s="21" t="n">
        <v>45981.497453704</v>
      </c>
      <c r="B1233" s="22" t="s">
        <v>1063</v>
      </c>
      <c r="C1233" s="22" t="s">
        <v>1251</v>
      </c>
      <c r="D1233" s="22" t="s">
        <v>1063</v>
      </c>
      <c r="E1233" s="22" t="s">
        <v>1063</v>
      </c>
      <c r="F1233" s="22" t="s">
        <v>19</v>
      </c>
      <c r="G1233" s="23" t="n">
        <v>1</v>
      </c>
      <c r="H1233" s="24" t="n">
        <v>1</v>
      </c>
      <c r="I1233" s="24" t="n">
        <v>11.18</v>
      </c>
      <c r="J1233" s="24" t="n">
        <v>0</v>
      </c>
      <c r="K1233" s="24" t="n">
        <v>0</v>
      </c>
      <c r="L1233" s="24" t="n">
        <v>0</v>
      </c>
      <c r="M1233" s="6" t="s">
        <f>=I1233+J1233+K1233+L1233</f>
      </c>
      <c r="N1233" s="24"/>
      <c r="O1233" s="22"/>
    </row>
    <row collapsed="false" customFormat="false" customHeight="false" hidden="false" ht="12.1" outlineLevel="0" r="1234">
      <c r="A1234" s="21" t="n">
        <v>45981.526898148</v>
      </c>
      <c r="B1234" s="22" t="s">
        <v>1063</v>
      </c>
      <c r="C1234" s="22" t="s">
        <v>1104</v>
      </c>
      <c r="D1234" s="22" t="s">
        <v>1063</v>
      </c>
      <c r="E1234" s="22" t="s">
        <v>1063</v>
      </c>
      <c r="F1234" s="22" t="s">
        <v>19</v>
      </c>
      <c r="G1234" s="23" t="n">
        <v>1</v>
      </c>
      <c r="H1234" s="24" t="n">
        <v>1</v>
      </c>
      <c r="I1234" s="24" t="n">
        <v>506.1</v>
      </c>
      <c r="J1234" s="24" t="n">
        <v>0</v>
      </c>
      <c r="K1234" s="24" t="n">
        <v>0</v>
      </c>
      <c r="L1234" s="24" t="n">
        <v>0</v>
      </c>
      <c r="M1234" s="6" t="s">
        <f>=I1234+J1234+K1234+L1234</f>
      </c>
      <c r="N1234" s="24"/>
      <c r="O1234" s="22"/>
    </row>
    <row collapsed="false" customFormat="false" customHeight="false" hidden="false" ht="12.1" outlineLevel="0" r="1235">
      <c r="A1235" s="21" t="n">
        <v>45981.532893519</v>
      </c>
      <c r="B1235" s="22" t="s">
        <v>1063</v>
      </c>
      <c r="C1235" s="22" t="s">
        <v>1183</v>
      </c>
      <c r="D1235" s="22" t="s">
        <v>1063</v>
      </c>
      <c r="E1235" s="22" t="s">
        <v>1063</v>
      </c>
      <c r="F1235" s="22" t="s">
        <v>19</v>
      </c>
      <c r="G1235" s="23" t="n">
        <v>1</v>
      </c>
      <c r="H1235" s="24" t="n">
        <v>1</v>
      </c>
      <c r="I1235" s="24" t="n">
        <v>91.98</v>
      </c>
      <c r="J1235" s="24" t="n">
        <v>0</v>
      </c>
      <c r="K1235" s="24" t="n">
        <v>0</v>
      </c>
      <c r="L1235" s="24" t="n">
        <v>0</v>
      </c>
      <c r="M1235" s="6" t="s">
        <f>=I1235+J1235+K1235+L1235</f>
      </c>
      <c r="N1235" s="24"/>
      <c r="O1235" s="22"/>
    </row>
    <row collapsed="false" customFormat="false" customHeight="false" hidden="false" ht="12.1" outlineLevel="0" r="1236">
      <c r="A1236" s="21" t="n">
        <v>45982.449456019</v>
      </c>
      <c r="B1236" s="22" t="s">
        <v>1063</v>
      </c>
      <c r="C1236" s="22" t="s">
        <v>1142</v>
      </c>
      <c r="D1236" s="22" t="s">
        <v>1063</v>
      </c>
      <c r="E1236" s="22" t="s">
        <v>1063</v>
      </c>
      <c r="F1236" s="22" t="s">
        <v>19</v>
      </c>
      <c r="G1236" s="23" t="n">
        <v>1</v>
      </c>
      <c r="H1236" s="24" t="n">
        <v>1</v>
      </c>
      <c r="I1236" s="24" t="n">
        <v>6.5</v>
      </c>
      <c r="J1236" s="24" t="n">
        <v>0</v>
      </c>
      <c r="K1236" s="24" t="n">
        <v>0</v>
      </c>
      <c r="L1236" s="24" t="n">
        <v>0</v>
      </c>
      <c r="M1236" s="6" t="s">
        <f>=I1236+J1236+K1236+L1236</f>
      </c>
      <c r="N1236" s="24"/>
      <c r="O1236" s="22"/>
    </row>
    <row collapsed="false" customFormat="false" customHeight="false" hidden="false" ht="12.1" outlineLevel="0" r="1237">
      <c r="A1237" s="21" t="n">
        <v>45985.439664352</v>
      </c>
      <c r="B1237" s="22" t="s">
        <v>1063</v>
      </c>
      <c r="C1237" s="22" t="s">
        <v>1235</v>
      </c>
      <c r="D1237" s="22" t="s">
        <v>1063</v>
      </c>
      <c r="E1237" s="22" t="s">
        <v>1063</v>
      </c>
      <c r="F1237" s="22" t="s">
        <v>19</v>
      </c>
      <c r="G1237" s="23" t="n">
        <v>1</v>
      </c>
      <c r="H1237" s="24" t="n">
        <v>1</v>
      </c>
      <c r="I1237" s="24" t="n">
        <v>29.76</v>
      </c>
      <c r="J1237" s="24" t="n">
        <v>0</v>
      </c>
      <c r="K1237" s="24" t="n">
        <v>0</v>
      </c>
      <c r="L1237" s="24" t="n">
        <v>0</v>
      </c>
      <c r="M1237" s="6" t="s">
        <f>=I1237+J1237+K1237+L1237</f>
      </c>
      <c r="N1237" s="24"/>
      <c r="O1237" s="22"/>
    </row>
    <row collapsed="false" customFormat="false" customHeight="false" hidden="false" ht="12.1" outlineLevel="0" r="1238">
      <c r="A1238" s="21" t="n">
        <v>45987.443240741</v>
      </c>
      <c r="B1238" s="22" t="s">
        <v>1063</v>
      </c>
      <c r="C1238" s="22" t="s">
        <v>1323</v>
      </c>
      <c r="D1238" s="22" t="s">
        <v>1063</v>
      </c>
      <c r="E1238" s="22" t="s">
        <v>1063</v>
      </c>
      <c r="F1238" s="22" t="s">
        <v>19</v>
      </c>
      <c r="G1238" s="23" t="n">
        <v>1</v>
      </c>
      <c r="H1238" s="24" t="n">
        <v>1</v>
      </c>
      <c r="I1238" s="24" t="n">
        <v>19.48</v>
      </c>
      <c r="J1238" s="24" t="n">
        <v>0</v>
      </c>
      <c r="K1238" s="24" t="n">
        <v>0</v>
      </c>
      <c r="L1238" s="24" t="n">
        <v>0</v>
      </c>
      <c r="M1238" s="6" t="s">
        <f>=I1238+J1238+K1238+L1238</f>
      </c>
      <c r="N1238" s="24"/>
      <c r="O1238" s="22"/>
    </row>
    <row collapsed="false" customFormat="false" customHeight="false" hidden="false" ht="12.1" outlineLevel="0" r="1239">
      <c r="A1239" s="21" t="n">
        <v>45987.470497685</v>
      </c>
      <c r="B1239" s="22" t="s">
        <v>1063</v>
      </c>
      <c r="C1239" s="22" t="s">
        <v>1261</v>
      </c>
      <c r="D1239" s="22" t="s">
        <v>1063</v>
      </c>
      <c r="E1239" s="22" t="s">
        <v>1063</v>
      </c>
      <c r="F1239" s="22" t="s">
        <v>19</v>
      </c>
      <c r="G1239" s="23" t="n">
        <v>1</v>
      </c>
      <c r="H1239" s="24" t="n">
        <v>1</v>
      </c>
      <c r="I1239" s="24" t="n">
        <v>74.79</v>
      </c>
      <c r="J1239" s="24" t="n">
        <v>0</v>
      </c>
      <c r="K1239" s="24" t="n">
        <v>0</v>
      </c>
      <c r="L1239" s="24" t="n">
        <v>0</v>
      </c>
      <c r="M1239" s="6" t="s">
        <f>=I1239+J1239+K1239+L1239</f>
      </c>
      <c r="N1239" s="24"/>
      <c r="O1239" s="22"/>
    </row>
    <row collapsed="false" customFormat="false" customHeight="false" hidden="false" ht="12.1" outlineLevel="0" r="1240">
      <c r="A1240" s="21" t="n">
        <v>45987.770428241</v>
      </c>
      <c r="B1240" s="22" t="s">
        <v>1063</v>
      </c>
      <c r="C1240" s="22" t="s">
        <v>1216</v>
      </c>
      <c r="D1240" s="22" t="s">
        <v>1063</v>
      </c>
      <c r="E1240" s="22" t="s">
        <v>1063</v>
      </c>
      <c r="F1240" s="22" t="s">
        <v>19</v>
      </c>
      <c r="G1240" s="23" t="n">
        <v>1</v>
      </c>
      <c r="H1240" s="24" t="n">
        <v>1</v>
      </c>
      <c r="I1240" s="24" t="n">
        <v>568.44</v>
      </c>
      <c r="J1240" s="24" t="n">
        <v>0</v>
      </c>
      <c r="K1240" s="24" t="n">
        <v>0</v>
      </c>
      <c r="L1240" s="24" t="n">
        <v>0</v>
      </c>
      <c r="M1240" s="6" t="s">
        <f>=I1240+J1240+K1240+L1240</f>
      </c>
      <c r="N1240" s="24"/>
      <c r="O1240" s="22"/>
    </row>
    <row collapsed="false" customFormat="false" customHeight="false" hidden="false" ht="12.1" outlineLevel="0" r="1241">
      <c r="A1241" s="21" t="n">
        <v>45987.786261574</v>
      </c>
      <c r="B1241" s="22" t="s">
        <v>1063</v>
      </c>
      <c r="C1241" s="22" t="s">
        <v>1262</v>
      </c>
      <c r="D1241" s="22" t="s">
        <v>1063</v>
      </c>
      <c r="E1241" s="22" t="s">
        <v>1063</v>
      </c>
      <c r="F1241" s="22" t="s">
        <v>19</v>
      </c>
      <c r="G1241" s="23" t="n">
        <v>1</v>
      </c>
      <c r="H1241" s="24" t="n">
        <v>1</v>
      </c>
      <c r="I1241" s="24" t="n">
        <v>671.88</v>
      </c>
      <c r="J1241" s="24" t="n">
        <v>0</v>
      </c>
      <c r="K1241" s="24" t="n">
        <v>0</v>
      </c>
      <c r="L1241" s="24" t="n">
        <v>0</v>
      </c>
      <c r="M1241" s="6" t="s">
        <f>=I1241+J1241+K1241+L1241</f>
      </c>
      <c r="N1241" s="24"/>
      <c r="O1241" s="22"/>
    </row>
    <row collapsed="false" customFormat="false" customHeight="false" hidden="false" ht="12.1" outlineLevel="0" r="1242">
      <c r="A1242" s="21" t="n">
        <v>45988.526145833</v>
      </c>
      <c r="B1242" s="22" t="s">
        <v>1056</v>
      </c>
      <c r="C1242" s="22" t="s">
        <v>350</v>
      </c>
      <c r="D1242" s="22" t="s">
        <v>1056</v>
      </c>
      <c r="E1242" s="22" t="s">
        <v>1056</v>
      </c>
      <c r="F1242" s="22" t="s">
        <v>19</v>
      </c>
      <c r="G1242" s="23" t="n">
        <v>1</v>
      </c>
      <c r="H1242" s="24" t="n">
        <v>1</v>
      </c>
      <c r="I1242" s="24" t="n">
        <v>11820</v>
      </c>
      <c r="J1242" s="24" t="n">
        <v>0</v>
      </c>
      <c r="K1242" s="24" t="n">
        <v>0</v>
      </c>
      <c r="L1242" s="24" t="n">
        <v>0</v>
      </c>
      <c r="M1242" s="6" t="s">
        <f>=I1242+J1242+K1242+L1242</f>
      </c>
      <c r="N1242" s="24"/>
      <c r="O1242" s="22"/>
    </row>
    <row collapsed="false" customFormat="false" customHeight="false" hidden="false" ht="12.1" outlineLevel="0" r="1243">
      <c r="A1243" s="29" t="n">
        <v>45988.529131944</v>
      </c>
      <c r="B1243" s="30" t="s">
        <v>932</v>
      </c>
      <c r="C1243" s="30" t="s">
        <v>1182</v>
      </c>
      <c r="D1243" s="30" t="s">
        <v>938</v>
      </c>
      <c r="E1243" s="30" t="s">
        <v>17</v>
      </c>
      <c r="F1243" s="30" t="s">
        <v>19</v>
      </c>
      <c r="G1243" s="31" t="n">
        <v>-1000</v>
      </c>
      <c r="H1243" s="32" t="n">
        <v>1.476</v>
      </c>
      <c r="I1243" s="32" t="n">
        <v>1476</v>
      </c>
      <c r="J1243" s="32" t="n">
        <v>0</v>
      </c>
      <c r="K1243" s="32" t="n">
        <v>-4.43</v>
      </c>
      <c r="L1243" s="32" t="n">
        <v>0</v>
      </c>
      <c r="M1243" s="6" t="s">
        <f>=I1243+J1243+K1243+L1243</f>
      </c>
      <c r="N1243" s="32"/>
      <c r="O1243" s="30"/>
    </row>
    <row collapsed="false" customFormat="false" customHeight="false" hidden="false" ht="12.1" outlineLevel="0" r="1244">
      <c r="A1244" s="29" t="n">
        <v>45988.529606481</v>
      </c>
      <c r="B1244" s="30" t="s">
        <v>933</v>
      </c>
      <c r="C1244" s="30" t="s">
        <v>1197</v>
      </c>
      <c r="D1244" s="30" t="s">
        <v>938</v>
      </c>
      <c r="E1244" s="30" t="s">
        <v>17</v>
      </c>
      <c r="F1244" s="30" t="s">
        <v>19</v>
      </c>
      <c r="G1244" s="31" t="n">
        <v>-20</v>
      </c>
      <c r="H1244" s="32" t="n">
        <v>77.13</v>
      </c>
      <c r="I1244" s="32" t="n">
        <v>1542.6</v>
      </c>
      <c r="J1244" s="32" t="n">
        <v>0</v>
      </c>
      <c r="K1244" s="32" t="n">
        <v>-4.63</v>
      </c>
      <c r="L1244" s="32" t="n">
        <v>0</v>
      </c>
      <c r="M1244" s="6" t="s">
        <f>=I1244+J1244+K1244+L1244</f>
      </c>
      <c r="N1244" s="32"/>
      <c r="O1244" s="30"/>
    </row>
    <row collapsed="false" customFormat="false" customHeight="false" hidden="false" ht="12.1" outlineLevel="0" r="1245">
      <c r="A1245" s="29" t="n">
        <v>45988.530289352</v>
      </c>
      <c r="B1245" s="30" t="s">
        <v>936</v>
      </c>
      <c r="C1245" s="30" t="s">
        <v>1223</v>
      </c>
      <c r="D1245" s="30" t="s">
        <v>938</v>
      </c>
      <c r="E1245" s="30" t="s">
        <v>17</v>
      </c>
      <c r="F1245" s="30" t="s">
        <v>19</v>
      </c>
      <c r="G1245" s="31" t="n">
        <v>-1000</v>
      </c>
      <c r="H1245" s="32" t="n">
        <v>1.9415</v>
      </c>
      <c r="I1245" s="32" t="n">
        <v>1941.5</v>
      </c>
      <c r="J1245" s="32" t="n">
        <v>0</v>
      </c>
      <c r="K1245" s="32" t="n">
        <v>-5.82</v>
      </c>
      <c r="L1245" s="32" t="n">
        <v>0</v>
      </c>
      <c r="M1245" s="6" t="s">
        <f>=I1245+J1245+K1245+L1245</f>
      </c>
      <c r="N1245" s="32"/>
      <c r="O1245" s="30"/>
    </row>
    <row collapsed="false" customFormat="false" customHeight="false" hidden="false" ht="12.1" outlineLevel="0" r="1246">
      <c r="A1246" s="29" t="n">
        <v>45988.530763889</v>
      </c>
      <c r="B1246" s="30" t="s">
        <v>937</v>
      </c>
      <c r="C1246" s="30" t="s">
        <v>1257</v>
      </c>
      <c r="D1246" s="30" t="s">
        <v>938</v>
      </c>
      <c r="E1246" s="30" t="s">
        <v>17</v>
      </c>
      <c r="F1246" s="30" t="s">
        <v>19</v>
      </c>
      <c r="G1246" s="31" t="n">
        <v>-10</v>
      </c>
      <c r="H1246" s="32" t="n">
        <v>269.1</v>
      </c>
      <c r="I1246" s="32" t="n">
        <v>2691</v>
      </c>
      <c r="J1246" s="32" t="n">
        <v>0</v>
      </c>
      <c r="K1246" s="32" t="n">
        <v>-8.07</v>
      </c>
      <c r="L1246" s="32" t="n">
        <v>0</v>
      </c>
      <c r="M1246" s="6" t="s">
        <f>=I1246+J1246+K1246+L1246</f>
      </c>
      <c r="N1246" s="32"/>
      <c r="O1246" s="30"/>
    </row>
    <row collapsed="false" customFormat="false" customHeight="false" hidden="false" ht="12.1" outlineLevel="0" r="1247">
      <c r="A1247" s="20" t="n">
        <v>45988.532986111</v>
      </c>
      <c r="B1247" s="16" t="s">
        <v>16</v>
      </c>
      <c r="C1247" s="16" t="s">
        <v>1112</v>
      </c>
      <c r="D1247" s="16" t="s">
        <v>912</v>
      </c>
      <c r="E1247" s="16" t="s">
        <v>17</v>
      </c>
      <c r="F1247" s="16" t="s">
        <v>19</v>
      </c>
      <c r="G1247" s="7" t="n">
        <v>19</v>
      </c>
      <c r="H1247" s="6" t="n">
        <v>304.73</v>
      </c>
      <c r="I1247" s="6" t="n">
        <v>-5789.87</v>
      </c>
      <c r="J1247" s="6" t="n">
        <v>0</v>
      </c>
      <c r="K1247" s="6" t="n">
        <v>-17.37</v>
      </c>
      <c r="L1247" s="6" t="n">
        <v>0</v>
      </c>
      <c r="M1247" s="6" t="s">
        <f>=I1247+J1247+K1247+L1247</f>
      </c>
      <c r="N1247" s="6"/>
      <c r="O1247" s="16"/>
    </row>
    <row collapsed="false" customFormat="false" customHeight="false" hidden="false" ht="12.1" outlineLevel="0" r="1248">
      <c r="A1248" s="20" t="n">
        <v>45988.533611111</v>
      </c>
      <c r="B1248" s="16" t="s">
        <v>21</v>
      </c>
      <c r="C1248" s="16" t="s">
        <v>1336</v>
      </c>
      <c r="D1248" s="16" t="s">
        <v>912</v>
      </c>
      <c r="E1248" s="16" t="s">
        <v>17</v>
      </c>
      <c r="F1248" s="16" t="s">
        <v>19</v>
      </c>
      <c r="G1248" s="7" t="n">
        <v>4</v>
      </c>
      <c r="H1248" s="6" t="n">
        <v>4157</v>
      </c>
      <c r="I1248" s="6" t="n">
        <v>-16628</v>
      </c>
      <c r="J1248" s="6" t="n">
        <v>0</v>
      </c>
      <c r="K1248" s="6" t="n">
        <v>-49.88</v>
      </c>
      <c r="L1248" s="6" t="n">
        <v>0</v>
      </c>
      <c r="M1248" s="6" t="s">
        <f>=I1248+J1248+K1248+L1248</f>
      </c>
      <c r="N1248" s="6"/>
      <c r="O1248" s="16"/>
    </row>
    <row collapsed="false" customFormat="false" customHeight="false" hidden="false" ht="12.1" outlineLevel="0" r="1249">
      <c r="A1249" s="20" t="n">
        <v>45988.535347222</v>
      </c>
      <c r="B1249" s="16" t="s">
        <v>30</v>
      </c>
      <c r="C1249" s="16" t="s">
        <v>1116</v>
      </c>
      <c r="D1249" s="16" t="s">
        <v>912</v>
      </c>
      <c r="E1249" s="16" t="s">
        <v>17</v>
      </c>
      <c r="F1249" s="16" t="s">
        <v>19</v>
      </c>
      <c r="G1249" s="7" t="n">
        <v>5</v>
      </c>
      <c r="H1249" s="6" t="n">
        <v>299.76</v>
      </c>
      <c r="I1249" s="6" t="n">
        <v>-1498.8</v>
      </c>
      <c r="J1249" s="6" t="n">
        <v>0</v>
      </c>
      <c r="K1249" s="6" t="n">
        <v>-4.5</v>
      </c>
      <c r="L1249" s="6" t="n">
        <v>0</v>
      </c>
      <c r="M1249" s="6" t="s">
        <f>=I1249+J1249+K1249+L1249</f>
      </c>
      <c r="N1249" s="6"/>
      <c r="O1249" s="16"/>
    </row>
    <row collapsed="false" customFormat="false" customHeight="false" hidden="false" ht="12.1" outlineLevel="0" r="1250">
      <c r="A1250" s="21" t="n">
        <v>45992.473368056</v>
      </c>
      <c r="B1250" s="22" t="s">
        <v>1063</v>
      </c>
      <c r="C1250" s="22" t="s">
        <v>1105</v>
      </c>
      <c r="D1250" s="22" t="s">
        <v>1063</v>
      </c>
      <c r="E1250" s="22" t="s">
        <v>1063</v>
      </c>
      <c r="F1250" s="22" t="s">
        <v>19</v>
      </c>
      <c r="G1250" s="23" t="n">
        <v>1</v>
      </c>
      <c r="H1250" s="24" t="n">
        <v>1</v>
      </c>
      <c r="I1250" s="24" t="n">
        <v>24.81</v>
      </c>
      <c r="J1250" s="24" t="n">
        <v>0</v>
      </c>
      <c r="K1250" s="24" t="n">
        <v>0</v>
      </c>
      <c r="L1250" s="24" t="n">
        <v>0</v>
      </c>
      <c r="M1250" s="6" t="s">
        <f>=I1250+J1250+K1250+L1250</f>
      </c>
      <c r="N1250" s="24"/>
      <c r="O1250" s="22"/>
    </row>
    <row collapsed="false" customFormat="false" customHeight="false" hidden="false" ht="12.1" outlineLevel="0" r="1251">
      <c r="A1251" s="21" t="n">
        <v>45993.438333333</v>
      </c>
      <c r="B1251" s="22" t="s">
        <v>1063</v>
      </c>
      <c r="C1251" s="22" t="s">
        <v>1324</v>
      </c>
      <c r="D1251" s="22" t="s">
        <v>1063</v>
      </c>
      <c r="E1251" s="22" t="s">
        <v>1063</v>
      </c>
      <c r="F1251" s="22" t="s">
        <v>19</v>
      </c>
      <c r="G1251" s="23" t="n">
        <v>1</v>
      </c>
      <c r="H1251" s="24" t="n">
        <v>1</v>
      </c>
      <c r="I1251" s="24" t="n">
        <v>25.68</v>
      </c>
      <c r="J1251" s="24" t="n">
        <v>0</v>
      </c>
      <c r="K1251" s="24" t="n">
        <v>0</v>
      </c>
      <c r="L1251" s="24" t="n">
        <v>0</v>
      </c>
      <c r="M1251" s="6" t="s">
        <f>=I1251+J1251+K1251+L1251</f>
      </c>
      <c r="N1251" s="24"/>
      <c r="O1251" s="22"/>
    </row>
    <row collapsed="false" customFormat="false" customHeight="false" hidden="false" ht="12.1" outlineLevel="0" r="1252">
      <c r="A1252" s="21" t="n">
        <v>45993.451469907</v>
      </c>
      <c r="B1252" s="22" t="s">
        <v>1063</v>
      </c>
      <c r="C1252" s="22" t="s">
        <v>1218</v>
      </c>
      <c r="D1252" s="22" t="s">
        <v>1063</v>
      </c>
      <c r="E1252" s="22" t="s">
        <v>1063</v>
      </c>
      <c r="F1252" s="22" t="s">
        <v>19</v>
      </c>
      <c r="G1252" s="23" t="n">
        <v>1</v>
      </c>
      <c r="H1252" s="24" t="n">
        <v>1</v>
      </c>
      <c r="I1252" s="24" t="n">
        <v>39.9</v>
      </c>
      <c r="J1252" s="24" t="n">
        <v>0</v>
      </c>
      <c r="K1252" s="24" t="n">
        <v>0</v>
      </c>
      <c r="L1252" s="24" t="n">
        <v>0</v>
      </c>
      <c r="M1252" s="6" t="s">
        <f>=I1252+J1252+K1252+L1252</f>
      </c>
      <c r="N1252" s="24"/>
      <c r="O1252" s="22"/>
    </row>
    <row collapsed="false" customFormat="false" customHeight="false" hidden="false" ht="12.1" outlineLevel="0" r="1253">
      <c r="A1253" s="21" t="n">
        <v>45993.565405093</v>
      </c>
      <c r="B1253" s="22" t="s">
        <v>1063</v>
      </c>
      <c r="C1253" s="22" t="s">
        <v>1207</v>
      </c>
      <c r="D1253" s="22" t="s">
        <v>1063</v>
      </c>
      <c r="E1253" s="22" t="s">
        <v>1063</v>
      </c>
      <c r="F1253" s="22" t="s">
        <v>19</v>
      </c>
      <c r="G1253" s="23" t="n">
        <v>1</v>
      </c>
      <c r="H1253" s="24" t="n">
        <v>1</v>
      </c>
      <c r="I1253" s="24" t="n">
        <v>15.24</v>
      </c>
      <c r="J1253" s="24" t="n">
        <v>0</v>
      </c>
      <c r="K1253" s="24" t="n">
        <v>0</v>
      </c>
      <c r="L1253" s="24" t="n">
        <v>0</v>
      </c>
      <c r="M1253" s="6" t="s">
        <f>=I1253+J1253+K1253+L1253</f>
      </c>
      <c r="N1253" s="24"/>
      <c r="O1253" s="22"/>
    </row>
    <row collapsed="false" customFormat="false" customHeight="false" hidden="false" ht="12.1" outlineLevel="0" r="1254">
      <c r="A1254" s="21" t="n">
        <v>45994.488402778</v>
      </c>
      <c r="B1254" s="22" t="s">
        <v>1063</v>
      </c>
      <c r="C1254" s="22" t="s">
        <v>1184</v>
      </c>
      <c r="D1254" s="22" t="s">
        <v>1063</v>
      </c>
      <c r="E1254" s="22" t="s">
        <v>1063</v>
      </c>
      <c r="F1254" s="22" t="s">
        <v>19</v>
      </c>
      <c r="G1254" s="23" t="n">
        <v>1</v>
      </c>
      <c r="H1254" s="24" t="n">
        <v>1</v>
      </c>
      <c r="I1254" s="24" t="n">
        <v>112.2</v>
      </c>
      <c r="J1254" s="24" t="n">
        <v>0</v>
      </c>
      <c r="K1254" s="24" t="n">
        <v>0</v>
      </c>
      <c r="L1254" s="24" t="n">
        <v>0</v>
      </c>
      <c r="M1254" s="6" t="s">
        <f>=I1254+J1254+K1254+L1254</f>
      </c>
      <c r="N1254" s="24"/>
      <c r="O1254" s="22"/>
    </row>
    <row collapsed="false" customFormat="false" customHeight="false" hidden="false" ht="12.1" outlineLevel="0" r="1255">
      <c r="A1255" s="21" t="n">
        <v>45994.498043981</v>
      </c>
      <c r="B1255" s="22" t="s">
        <v>1063</v>
      </c>
      <c r="C1255" s="22" t="s">
        <v>1263</v>
      </c>
      <c r="D1255" s="22" t="s">
        <v>1063</v>
      </c>
      <c r="E1255" s="22" t="s">
        <v>1063</v>
      </c>
      <c r="F1255" s="22" t="s">
        <v>19</v>
      </c>
      <c r="G1255" s="23" t="n">
        <v>1</v>
      </c>
      <c r="H1255" s="24" t="n">
        <v>1</v>
      </c>
      <c r="I1255" s="24" t="n">
        <v>29.17</v>
      </c>
      <c r="J1255" s="24" t="n">
        <v>0</v>
      </c>
      <c r="K1255" s="24" t="n">
        <v>0</v>
      </c>
      <c r="L1255" s="24" t="n">
        <v>0</v>
      </c>
      <c r="M1255" s="6" t="s">
        <f>=I1255+J1255+K1255+L1255</f>
      </c>
      <c r="N1255" s="24"/>
      <c r="O1255" s="22"/>
    </row>
    <row collapsed="false" customFormat="false" customHeight="false" hidden="false" ht="12.1" outlineLevel="0" r="1256">
      <c r="A1256" s="21" t="n">
        <v>45994.759965278</v>
      </c>
      <c r="B1256" s="22" t="s">
        <v>1063</v>
      </c>
      <c r="C1256" s="22" t="s">
        <v>1264</v>
      </c>
      <c r="D1256" s="22" t="s">
        <v>1063</v>
      </c>
      <c r="E1256" s="22" t="s">
        <v>1063</v>
      </c>
      <c r="F1256" s="22" t="s">
        <v>19</v>
      </c>
      <c r="G1256" s="23" t="n">
        <v>1</v>
      </c>
      <c r="H1256" s="24" t="n">
        <v>1</v>
      </c>
      <c r="I1256" s="24" t="n">
        <v>855.12</v>
      </c>
      <c r="J1256" s="24" t="n">
        <v>0</v>
      </c>
      <c r="K1256" s="24" t="n">
        <v>0</v>
      </c>
      <c r="L1256" s="24" t="n">
        <v>0</v>
      </c>
      <c r="M1256" s="6" t="s">
        <f>=I1256+J1256+K1256+L1256</f>
      </c>
      <c r="N1256" s="24"/>
      <c r="O1256" s="22"/>
    </row>
    <row collapsed="false" customFormat="false" customHeight="false" hidden="false" ht="12.1" outlineLevel="0" r="1257">
      <c r="A1257" s="21" t="n">
        <v>45994.762569444</v>
      </c>
      <c r="B1257" s="22" t="s">
        <v>1063</v>
      </c>
      <c r="C1257" s="22" t="s">
        <v>1187</v>
      </c>
      <c r="D1257" s="22" t="s">
        <v>1063</v>
      </c>
      <c r="E1257" s="22" t="s">
        <v>1063</v>
      </c>
      <c r="F1257" s="22" t="s">
        <v>19</v>
      </c>
      <c r="G1257" s="23" t="n">
        <v>1</v>
      </c>
      <c r="H1257" s="24" t="n">
        <v>1</v>
      </c>
      <c r="I1257" s="24" t="n">
        <v>830.79</v>
      </c>
      <c r="J1257" s="24" t="n">
        <v>0</v>
      </c>
      <c r="K1257" s="24" t="n">
        <v>0</v>
      </c>
      <c r="L1257" s="24" t="n">
        <v>0</v>
      </c>
      <c r="M1257" s="6" t="s">
        <f>=I1257+J1257+K1257+L1257</f>
      </c>
      <c r="N1257" s="24"/>
      <c r="O1257" s="22"/>
    </row>
    <row collapsed="false" customFormat="false" customHeight="false" hidden="false" ht="12.1" outlineLevel="0" r="1258">
      <c r="A1258" s="21" t="n">
        <v>45994.768819444</v>
      </c>
      <c r="B1258" s="22" t="s">
        <v>1063</v>
      </c>
      <c r="C1258" s="22" t="s">
        <v>1150</v>
      </c>
      <c r="D1258" s="22" t="s">
        <v>1063</v>
      </c>
      <c r="E1258" s="22" t="s">
        <v>1063</v>
      </c>
      <c r="F1258" s="22" t="s">
        <v>19</v>
      </c>
      <c r="G1258" s="23" t="n">
        <v>1</v>
      </c>
      <c r="H1258" s="24" t="n">
        <v>1</v>
      </c>
      <c r="I1258" s="24" t="n">
        <v>814.2</v>
      </c>
      <c r="J1258" s="24" t="n">
        <v>0</v>
      </c>
      <c r="K1258" s="24" t="n">
        <v>0</v>
      </c>
      <c r="L1258" s="24" t="n">
        <v>0</v>
      </c>
      <c r="M1258" s="6" t="s">
        <f>=I1258+J1258+K1258+L1258</f>
      </c>
      <c r="N1258" s="24"/>
      <c r="O1258" s="22"/>
    </row>
    <row collapsed="false" customFormat="false" customHeight="false" hidden="false" ht="12.1" outlineLevel="0" r="1259">
      <c r="A1259" s="21" t="n">
        <v>45995.40380787</v>
      </c>
      <c r="B1259" s="22" t="s">
        <v>1063</v>
      </c>
      <c r="C1259" s="22" t="s">
        <v>1265</v>
      </c>
      <c r="D1259" s="22" t="s">
        <v>1063</v>
      </c>
      <c r="E1259" s="22" t="s">
        <v>1063</v>
      </c>
      <c r="F1259" s="22" t="s">
        <v>19</v>
      </c>
      <c r="G1259" s="23" t="n">
        <v>1</v>
      </c>
      <c r="H1259" s="24" t="n">
        <v>1</v>
      </c>
      <c r="I1259" s="24" t="n">
        <v>56.84</v>
      </c>
      <c r="J1259" s="24" t="n">
        <v>0</v>
      </c>
      <c r="K1259" s="24" t="n">
        <v>0</v>
      </c>
      <c r="L1259" s="24" t="n">
        <v>0</v>
      </c>
      <c r="M1259" s="6" t="s">
        <f>=I1259+J1259+K1259+L1259</f>
      </c>
      <c r="N1259" s="24"/>
      <c r="O1259" s="22"/>
    </row>
    <row collapsed="false" customFormat="false" customHeight="false" hidden="false" ht="12.1" outlineLevel="0" r="1260">
      <c r="A1260" s="21" t="n">
        <v>45995.528113426</v>
      </c>
      <c r="B1260" s="22" t="s">
        <v>1063</v>
      </c>
      <c r="C1260" s="22" t="s">
        <v>1149</v>
      </c>
      <c r="D1260" s="22" t="s">
        <v>1063</v>
      </c>
      <c r="E1260" s="22" t="s">
        <v>1063</v>
      </c>
      <c r="F1260" s="22" t="s">
        <v>19</v>
      </c>
      <c r="G1260" s="23" t="n">
        <v>1</v>
      </c>
      <c r="H1260" s="24" t="n">
        <v>1</v>
      </c>
      <c r="I1260" s="24" t="n">
        <v>65.32</v>
      </c>
      <c r="J1260" s="24" t="n">
        <v>0</v>
      </c>
      <c r="K1260" s="24" t="n">
        <v>0</v>
      </c>
      <c r="L1260" s="24" t="n">
        <v>0</v>
      </c>
      <c r="M1260" s="6" t="s">
        <f>=I1260+J1260+K1260+L1260</f>
      </c>
      <c r="N1260" s="24"/>
      <c r="O1260" s="22"/>
    </row>
    <row collapsed="false" customFormat="false" customHeight="false" hidden="false" ht="12.1" outlineLevel="0" r="1261">
      <c r="A1261" s="21" t="n">
        <v>45995.530381944</v>
      </c>
      <c r="B1261" s="22" t="s">
        <v>1063</v>
      </c>
      <c r="C1261" s="22" t="s">
        <v>1329</v>
      </c>
      <c r="D1261" s="22" t="s">
        <v>1063</v>
      </c>
      <c r="E1261" s="22" t="s">
        <v>1063</v>
      </c>
      <c r="F1261" s="22" t="s">
        <v>19</v>
      </c>
      <c r="G1261" s="23" t="n">
        <v>1</v>
      </c>
      <c r="H1261" s="24" t="n">
        <v>1</v>
      </c>
      <c r="I1261" s="24" t="n">
        <v>3.28</v>
      </c>
      <c r="J1261" s="24" t="n">
        <v>0</v>
      </c>
      <c r="K1261" s="24" t="n">
        <v>0</v>
      </c>
      <c r="L1261" s="24" t="n">
        <v>0</v>
      </c>
      <c r="M1261" s="6" t="s">
        <f>=I1261+J1261+K1261+L1261</f>
      </c>
      <c r="N1261" s="24"/>
      <c r="O1261" s="22"/>
    </row>
    <row collapsed="false" customFormat="false" customHeight="false" hidden="false" ht="12.1" outlineLevel="0" r="1262">
      <c r="A1262" s="21" t="n">
        <v>45995.553819444</v>
      </c>
      <c r="B1262" s="22" t="s">
        <v>1063</v>
      </c>
      <c r="C1262" s="22" t="s">
        <v>1266</v>
      </c>
      <c r="D1262" s="22" t="s">
        <v>1063</v>
      </c>
      <c r="E1262" s="22" t="s">
        <v>1063</v>
      </c>
      <c r="F1262" s="22" t="s">
        <v>19</v>
      </c>
      <c r="G1262" s="23" t="n">
        <v>1</v>
      </c>
      <c r="H1262" s="24" t="n">
        <v>1</v>
      </c>
      <c r="I1262" s="24" t="n">
        <v>19.55</v>
      </c>
      <c r="J1262" s="24" t="n">
        <v>0</v>
      </c>
      <c r="K1262" s="24" t="n">
        <v>0</v>
      </c>
      <c r="L1262" s="24" t="n">
        <v>0</v>
      </c>
      <c r="M1262" s="6" t="s">
        <f>=I1262+J1262+K1262+L1262</f>
      </c>
      <c r="N1262" s="24"/>
      <c r="O1262" s="22"/>
    </row>
    <row collapsed="false" customFormat="false" customHeight="false" hidden="false" ht="12.1" outlineLevel="0" r="1263">
      <c r="A1263" s="21" t="n">
        <v>45995.554166667</v>
      </c>
      <c r="B1263" s="22" t="s">
        <v>1063</v>
      </c>
      <c r="C1263" s="22" t="s">
        <v>1106</v>
      </c>
      <c r="D1263" s="22" t="s">
        <v>1063</v>
      </c>
      <c r="E1263" s="22" t="s">
        <v>1063</v>
      </c>
      <c r="F1263" s="22" t="s">
        <v>19</v>
      </c>
      <c r="G1263" s="23" t="n">
        <v>1</v>
      </c>
      <c r="H1263" s="24" t="n">
        <v>1</v>
      </c>
      <c r="I1263" s="24" t="n">
        <v>19.87</v>
      </c>
      <c r="J1263" s="24" t="n">
        <v>0</v>
      </c>
      <c r="K1263" s="24" t="n">
        <v>0</v>
      </c>
      <c r="L1263" s="24" t="n">
        <v>0</v>
      </c>
      <c r="M1263" s="6" t="s">
        <f>=I1263+J1263+K1263+L1263</f>
      </c>
      <c r="N1263" s="24"/>
      <c r="O1263" s="22"/>
    </row>
    <row collapsed="false" customFormat="false" customHeight="false" hidden="false" ht="12.1" outlineLevel="0" r="1264">
      <c r="A1264" s="21" t="n">
        <v>45995.576631944</v>
      </c>
      <c r="B1264" s="22" t="s">
        <v>1073</v>
      </c>
      <c r="C1264" s="22" t="s">
        <v>1344</v>
      </c>
      <c r="D1264" s="22" t="s">
        <v>1073</v>
      </c>
      <c r="E1264" s="22" t="s">
        <v>1073</v>
      </c>
      <c r="F1264" s="22" t="s">
        <v>19</v>
      </c>
      <c r="G1264" s="23" t="n">
        <v>1</v>
      </c>
      <c r="H1264" s="24" t="n">
        <v>1</v>
      </c>
      <c r="I1264" s="24" t="n">
        <v>2000</v>
      </c>
      <c r="J1264" s="24" t="n">
        <v>0</v>
      </c>
      <c r="K1264" s="24" t="n">
        <v>0</v>
      </c>
      <c r="L1264" s="24" t="n">
        <v>0</v>
      </c>
      <c r="M1264" s="6" t="s">
        <f>=I1264+J1264+K1264+L1264</f>
      </c>
      <c r="N1264" s="24"/>
      <c r="O1264" s="22"/>
    </row>
    <row collapsed="false" customFormat="false" customHeight="false" hidden="false" ht="12.1" outlineLevel="0" r="1265">
      <c r="A1265" s="21" t="n">
        <v>45996.384270833</v>
      </c>
      <c r="B1265" s="22" t="s">
        <v>1063</v>
      </c>
      <c r="C1265" s="22" t="s">
        <v>1267</v>
      </c>
      <c r="D1265" s="22" t="s">
        <v>1063</v>
      </c>
      <c r="E1265" s="22" t="s">
        <v>1063</v>
      </c>
      <c r="F1265" s="22" t="s">
        <v>19</v>
      </c>
      <c r="G1265" s="23" t="n">
        <v>1</v>
      </c>
      <c r="H1265" s="24" t="n">
        <v>1</v>
      </c>
      <c r="I1265" s="24" t="n">
        <v>35.53</v>
      </c>
      <c r="J1265" s="24" t="n">
        <v>0</v>
      </c>
      <c r="K1265" s="24" t="n">
        <v>0</v>
      </c>
      <c r="L1265" s="24" t="n">
        <v>0</v>
      </c>
      <c r="M1265" s="6" t="s">
        <f>=I1265+J1265+K1265+L1265</f>
      </c>
      <c r="N1265" s="24"/>
      <c r="O1265" s="22"/>
    </row>
    <row collapsed="false" customFormat="false" customHeight="false" hidden="false" ht="12.1" outlineLevel="0" r="1266">
      <c r="A1266" s="21" t="n">
        <v>45996.450381944</v>
      </c>
      <c r="B1266" s="22" t="s">
        <v>1063</v>
      </c>
      <c r="C1266" s="22" t="s">
        <v>1318</v>
      </c>
      <c r="D1266" s="22" t="s">
        <v>1063</v>
      </c>
      <c r="E1266" s="22" t="s">
        <v>1063</v>
      </c>
      <c r="F1266" s="22" t="s">
        <v>19</v>
      </c>
      <c r="G1266" s="23" t="n">
        <v>1</v>
      </c>
      <c r="H1266" s="24" t="n">
        <v>1</v>
      </c>
      <c r="I1266" s="24" t="n">
        <v>19.11</v>
      </c>
      <c r="J1266" s="24" t="n">
        <v>0</v>
      </c>
      <c r="K1266" s="24" t="n">
        <v>0</v>
      </c>
      <c r="L1266" s="24" t="n">
        <v>0</v>
      </c>
      <c r="M1266" s="6" t="s">
        <f>=I1266+J1266+K1266+L1266</f>
      </c>
      <c r="N1266" s="24"/>
      <c r="O1266" s="22"/>
    </row>
    <row collapsed="false" customFormat="false" customHeight="false" hidden="false" ht="12.1" outlineLevel="0" r="1267">
      <c r="A1267" s="21" t="n">
        <v>45996.476469907</v>
      </c>
      <c r="B1267" s="22" t="s">
        <v>1063</v>
      </c>
      <c r="C1267" s="22" t="s">
        <v>1174</v>
      </c>
      <c r="D1267" s="22" t="s">
        <v>1063</v>
      </c>
      <c r="E1267" s="22" t="s">
        <v>1063</v>
      </c>
      <c r="F1267" s="22" t="s">
        <v>19</v>
      </c>
      <c r="G1267" s="23" t="n">
        <v>1</v>
      </c>
      <c r="H1267" s="24" t="n">
        <v>1</v>
      </c>
      <c r="I1267" s="24" t="n">
        <v>30.72</v>
      </c>
      <c r="J1267" s="24" t="n">
        <v>0</v>
      </c>
      <c r="K1267" s="24" t="n">
        <v>0</v>
      </c>
      <c r="L1267" s="24" t="n">
        <v>0</v>
      </c>
      <c r="M1267" s="6" t="s">
        <f>=I1267+J1267+K1267+L1267</f>
      </c>
      <c r="N1267" s="24"/>
      <c r="O1267" s="22"/>
    </row>
    <row collapsed="false" customFormat="false" customHeight="false" hidden="false" ht="12.1" outlineLevel="0" r="1268">
      <c r="A1268" s="21" t="n">
        <v>46001.434849537</v>
      </c>
      <c r="B1268" s="22" t="s">
        <v>1063</v>
      </c>
      <c r="C1268" s="22" t="s">
        <v>1151</v>
      </c>
      <c r="D1268" s="22" t="s">
        <v>1063</v>
      </c>
      <c r="E1268" s="22" t="s">
        <v>1063</v>
      </c>
      <c r="F1268" s="22" t="s">
        <v>19</v>
      </c>
      <c r="G1268" s="23" t="n">
        <v>1</v>
      </c>
      <c r="H1268" s="24" t="n">
        <v>1</v>
      </c>
      <c r="I1268" s="24" t="n">
        <v>28.95</v>
      </c>
      <c r="J1268" s="24" t="n">
        <v>0</v>
      </c>
      <c r="K1268" s="24" t="n">
        <v>0</v>
      </c>
      <c r="L1268" s="24" t="n">
        <v>0</v>
      </c>
      <c r="M1268" s="6" t="s">
        <f>=I1268+J1268+K1268+L1268</f>
      </c>
      <c r="N1268" s="24"/>
      <c r="O1268" s="22"/>
    </row>
    <row collapsed="false" customFormat="false" customHeight="false" hidden="false" ht="12.1" outlineLevel="0" r="1269">
      <c r="A1269" s="21" t="n">
        <v>46001.441145833</v>
      </c>
      <c r="B1269" s="22" t="s">
        <v>1073</v>
      </c>
      <c r="C1269" s="22" t="s">
        <v>1345</v>
      </c>
      <c r="D1269" s="22" t="s">
        <v>1073</v>
      </c>
      <c r="E1269" s="22" t="s">
        <v>1073</v>
      </c>
      <c r="F1269" s="22" t="s">
        <v>19</v>
      </c>
      <c r="G1269" s="23" t="n">
        <v>1</v>
      </c>
      <c r="H1269" s="24" t="n">
        <v>1</v>
      </c>
      <c r="I1269" s="24" t="n">
        <v>860</v>
      </c>
      <c r="J1269" s="24" t="n">
        <v>0</v>
      </c>
      <c r="K1269" s="24" t="n">
        <v>0</v>
      </c>
      <c r="L1269" s="24" t="n">
        <v>0</v>
      </c>
      <c r="M1269" s="6" t="s">
        <f>=I1269+J1269+K1269+L1269</f>
      </c>
      <c r="N1269" s="24"/>
      <c r="O1269" s="22"/>
    </row>
    <row collapsed="false" customFormat="false" customHeight="false" hidden="false" ht="12.1" outlineLevel="0" r="1270">
      <c r="A1270" s="21" t="n">
        <v>46002.396168981</v>
      </c>
      <c r="B1270" s="22" t="s">
        <v>1063</v>
      </c>
      <c r="C1270" s="22" t="s">
        <v>1314</v>
      </c>
      <c r="D1270" s="22" t="s">
        <v>1063</v>
      </c>
      <c r="E1270" s="22" t="s">
        <v>1063</v>
      </c>
      <c r="F1270" s="22" t="s">
        <v>19</v>
      </c>
      <c r="G1270" s="23" t="n">
        <v>1</v>
      </c>
      <c r="H1270" s="24" t="n">
        <v>1</v>
      </c>
      <c r="I1270" s="24" t="n">
        <v>15.09</v>
      </c>
      <c r="J1270" s="24" t="n">
        <v>0</v>
      </c>
      <c r="K1270" s="24" t="n">
        <v>0</v>
      </c>
      <c r="L1270" s="24" t="n">
        <v>0</v>
      </c>
      <c r="M1270" s="6" t="s">
        <f>=I1270+J1270+K1270+L1270</f>
      </c>
      <c r="N1270" s="24"/>
      <c r="O1270" s="22"/>
    </row>
    <row collapsed="false" customFormat="false" customHeight="false" hidden="false" ht="12.1" outlineLevel="0" r="1271">
      <c r="A1271" s="21" t="n">
        <v>46006.460856481</v>
      </c>
      <c r="B1271" s="22" t="s">
        <v>1063</v>
      </c>
      <c r="C1271" s="22" t="s">
        <v>1294</v>
      </c>
      <c r="D1271" s="22" t="s">
        <v>1063</v>
      </c>
      <c r="E1271" s="22" t="s">
        <v>1063</v>
      </c>
      <c r="F1271" s="22" t="s">
        <v>19</v>
      </c>
      <c r="G1271" s="23" t="n">
        <v>1</v>
      </c>
      <c r="H1271" s="24" t="n">
        <v>1</v>
      </c>
      <c r="I1271" s="24" t="n">
        <v>35.66</v>
      </c>
      <c r="J1271" s="24" t="n">
        <v>0</v>
      </c>
      <c r="K1271" s="24" t="n">
        <v>0</v>
      </c>
      <c r="L1271" s="24" t="n">
        <v>0</v>
      </c>
      <c r="M1271" s="6" t="s">
        <f>=I1271+J1271+K1271+L1271</f>
      </c>
      <c r="N1271" s="24"/>
      <c r="O1271" s="22"/>
    </row>
    <row collapsed="false" customFormat="false" customHeight="false" hidden="false" ht="12.1" outlineLevel="0" r="1272">
      <c r="A1272" s="21" t="n">
        <v>46009.453217593</v>
      </c>
      <c r="B1272" s="22" t="s">
        <v>1063</v>
      </c>
      <c r="C1272" s="22" t="s">
        <v>1113</v>
      </c>
      <c r="D1272" s="22" t="s">
        <v>1063</v>
      </c>
      <c r="E1272" s="22" t="s">
        <v>1063</v>
      </c>
      <c r="F1272" s="22" t="s">
        <v>19</v>
      </c>
      <c r="G1272" s="23" t="n">
        <v>1</v>
      </c>
      <c r="H1272" s="24" t="n">
        <v>1</v>
      </c>
      <c r="I1272" s="24" t="n">
        <v>1571.36</v>
      </c>
      <c r="J1272" s="24" t="n">
        <v>0</v>
      </c>
      <c r="K1272" s="24" t="n">
        <v>0</v>
      </c>
      <c r="L1272" s="24" t="n">
        <v>0</v>
      </c>
      <c r="M1272" s="6" t="s">
        <f>=I1272+J1272+K1272+L1272</f>
      </c>
      <c r="N1272" s="24"/>
      <c r="O1272" s="22"/>
    </row>
    <row collapsed="false" customFormat="false" customHeight="false" hidden="false" ht="12.1" outlineLevel="0" r="1273">
      <c r="A1273" s="21" t="n">
        <v>46010.449224537</v>
      </c>
      <c r="B1273" s="22" t="s">
        <v>1063</v>
      </c>
      <c r="C1273" s="22" t="s">
        <v>1322</v>
      </c>
      <c r="D1273" s="22" t="s">
        <v>1063</v>
      </c>
      <c r="E1273" s="22" t="s">
        <v>1063</v>
      </c>
      <c r="F1273" s="22" t="s">
        <v>19</v>
      </c>
      <c r="G1273" s="23" t="n">
        <v>1</v>
      </c>
      <c r="H1273" s="24" t="n">
        <v>1</v>
      </c>
      <c r="I1273" s="24" t="n">
        <v>20.96</v>
      </c>
      <c r="J1273" s="24" t="n">
        <v>0</v>
      </c>
      <c r="K1273" s="24" t="n">
        <v>0</v>
      </c>
      <c r="L1273" s="24" t="n">
        <v>0</v>
      </c>
      <c r="M1273" s="6" t="s">
        <f>=I1273+J1273+K1273+L1273</f>
      </c>
      <c r="N1273" s="24"/>
      <c r="O1273" s="22"/>
    </row>
    <row collapsed="false" customFormat="false" customHeight="false" hidden="false" ht="12.1" outlineLevel="0" r="1274">
      <c r="A1274" s="21" t="n">
        <v>46013.509780093</v>
      </c>
      <c r="B1274" s="22" t="s">
        <v>1063</v>
      </c>
      <c r="C1274" s="22" t="s">
        <v>1251</v>
      </c>
      <c r="D1274" s="22" t="s">
        <v>1063</v>
      </c>
      <c r="E1274" s="22" t="s">
        <v>1063</v>
      </c>
      <c r="F1274" s="22" t="s">
        <v>19</v>
      </c>
      <c r="G1274" s="23" t="n">
        <v>1</v>
      </c>
      <c r="H1274" s="24" t="n">
        <v>1</v>
      </c>
      <c r="I1274" s="24" t="n">
        <v>11.18</v>
      </c>
      <c r="J1274" s="24" t="n">
        <v>0</v>
      </c>
      <c r="K1274" s="24" t="n">
        <v>0</v>
      </c>
      <c r="L1274" s="24" t="n">
        <v>0</v>
      </c>
      <c r="M1274" s="6" t="s">
        <f>=I1274+J1274+K1274+L1274</f>
      </c>
      <c r="N1274" s="24"/>
      <c r="O1274" s="22"/>
    </row>
    <row collapsed="false" customFormat="false" customHeight="false" hidden="false" ht="12.1" outlineLevel="0" r="1275">
      <c r="A1275" s="21" t="n">
        <v>46013.516759259</v>
      </c>
      <c r="B1275" s="22" t="s">
        <v>1063</v>
      </c>
      <c r="C1275" s="22" t="s">
        <v>1303</v>
      </c>
      <c r="D1275" s="22" t="s">
        <v>1063</v>
      </c>
      <c r="E1275" s="22" t="s">
        <v>1063</v>
      </c>
      <c r="F1275" s="22" t="s">
        <v>19</v>
      </c>
      <c r="G1275" s="23" t="n">
        <v>1</v>
      </c>
      <c r="H1275" s="24" t="n">
        <v>1</v>
      </c>
      <c r="I1275" s="24" t="n">
        <v>14.92</v>
      </c>
      <c r="J1275" s="24" t="n">
        <v>0</v>
      </c>
      <c r="K1275" s="24" t="n">
        <v>0</v>
      </c>
      <c r="L1275" s="24" t="n">
        <v>0</v>
      </c>
      <c r="M1275" s="6" t="s">
        <f>=I1275+J1275+K1275+L1275</f>
      </c>
      <c r="N1275" s="24"/>
      <c r="O1275" s="22"/>
    </row>
    <row collapsed="false" customFormat="false" customHeight="false" hidden="false" ht="12.1" outlineLevel="0" r="1276">
      <c r="A1276" s="21" t="n">
        <v>46014.517303241</v>
      </c>
      <c r="B1276" s="22" t="s">
        <v>1063</v>
      </c>
      <c r="C1276" s="22" t="s">
        <v>1235</v>
      </c>
      <c r="D1276" s="22" t="s">
        <v>1063</v>
      </c>
      <c r="E1276" s="22" t="s">
        <v>1063</v>
      </c>
      <c r="F1276" s="22" t="s">
        <v>19</v>
      </c>
      <c r="G1276" s="23" t="n">
        <v>1</v>
      </c>
      <c r="H1276" s="24" t="n">
        <v>1</v>
      </c>
      <c r="I1276" s="24" t="n">
        <v>28.94</v>
      </c>
      <c r="J1276" s="24" t="n">
        <v>0</v>
      </c>
      <c r="K1276" s="24" t="n">
        <v>0</v>
      </c>
      <c r="L1276" s="24" t="n">
        <v>0</v>
      </c>
      <c r="M1276" s="6" t="s">
        <f>=I1276+J1276+K1276+L1276</f>
      </c>
      <c r="N1276" s="24"/>
      <c r="O1276" s="22"/>
    </row>
    <row collapsed="false" customFormat="false" customHeight="false" hidden="false" ht="12.1" outlineLevel="0" r="1277">
      <c r="A1277" s="25" t="n">
        <v>46015.580555556</v>
      </c>
      <c r="B1277" s="26" t="s">
        <v>1089</v>
      </c>
      <c r="C1277" s="26" t="s">
        <v>1310</v>
      </c>
      <c r="D1277" s="26" t="s">
        <v>1089</v>
      </c>
      <c r="E1277" s="26" t="s">
        <v>1089</v>
      </c>
      <c r="F1277" s="26" t="s">
        <v>19</v>
      </c>
      <c r="G1277" s="27" t="n">
        <v>1</v>
      </c>
      <c r="H1277" s="28" t="n">
        <v>-47</v>
      </c>
      <c r="I1277" s="28" t="n">
        <v>-47</v>
      </c>
      <c r="J1277" s="28" t="n">
        <v>0</v>
      </c>
      <c r="K1277" s="28" t="n">
        <v>0</v>
      </c>
      <c r="L1277" s="28" t="n">
        <v>0</v>
      </c>
      <c r="M1277" s="6" t="s">
        <f>=I1277+J1277+K1277+L1277</f>
      </c>
      <c r="N1277" s="28"/>
      <c r="O1277" s="26"/>
    </row>
    <row collapsed="false" customFormat="false" customHeight="false" hidden="false" ht="12.1" outlineLevel="0" r="1278">
      <c r="A1278" s="21" t="n">
        <v>46015.580555556</v>
      </c>
      <c r="B1278" s="22" t="s">
        <v>1063</v>
      </c>
      <c r="C1278" s="22" t="s">
        <v>1311</v>
      </c>
      <c r="D1278" s="22" t="s">
        <v>1063</v>
      </c>
      <c r="E1278" s="22" t="s">
        <v>1063</v>
      </c>
      <c r="F1278" s="22" t="s">
        <v>19</v>
      </c>
      <c r="G1278" s="23" t="n">
        <v>1</v>
      </c>
      <c r="H1278" s="24" t="n">
        <v>1</v>
      </c>
      <c r="I1278" s="24" t="n">
        <v>360</v>
      </c>
      <c r="J1278" s="24" t="n">
        <v>0</v>
      </c>
      <c r="K1278" s="24" t="n">
        <v>0</v>
      </c>
      <c r="L1278" s="24" t="n">
        <v>0</v>
      </c>
      <c r="M1278" s="6" t="s">
        <f>=I1278+J1278+K1278+L1278</f>
      </c>
      <c r="N1278" s="24"/>
      <c r="O1278" s="22"/>
    </row>
    <row collapsed="false" customFormat="false" customHeight="false" hidden="false" ht="12.1" outlineLevel="0" r="1279">
      <c r="A1279" s="21" t="n">
        <v>46016.446134259</v>
      </c>
      <c r="B1279" s="22" t="s">
        <v>1063</v>
      </c>
      <c r="C1279" s="22" t="s">
        <v>1346</v>
      </c>
      <c r="D1279" s="22" t="s">
        <v>1063</v>
      </c>
      <c r="E1279" s="22" t="s">
        <v>1063</v>
      </c>
      <c r="F1279" s="22" t="s">
        <v>19</v>
      </c>
      <c r="G1279" s="23" t="n">
        <v>1</v>
      </c>
      <c r="H1279" s="24" t="n">
        <v>1</v>
      </c>
      <c r="I1279" s="24" t="n">
        <v>239.36</v>
      </c>
      <c r="J1279" s="24" t="n">
        <v>0</v>
      </c>
      <c r="K1279" s="24" t="n">
        <v>0</v>
      </c>
      <c r="L1279" s="24" t="n">
        <v>0</v>
      </c>
      <c r="M1279" s="6" t="s">
        <f>=I1279+J1279+K1279+L1279</f>
      </c>
      <c r="N1279" s="24"/>
      <c r="O1279" s="22"/>
    </row>
    <row collapsed="false" customFormat="false" customHeight="false" hidden="false" ht="12.1" outlineLevel="0" r="1280">
      <c r="A1280" s="21" t="n">
        <v>46016.458634259</v>
      </c>
      <c r="B1280" s="22" t="s">
        <v>1063</v>
      </c>
      <c r="C1280" s="22" t="s">
        <v>1347</v>
      </c>
      <c r="D1280" s="22" t="s">
        <v>1063</v>
      </c>
      <c r="E1280" s="22" t="s">
        <v>1063</v>
      </c>
      <c r="F1280" s="22" t="s">
        <v>19</v>
      </c>
      <c r="G1280" s="23" t="n">
        <v>1</v>
      </c>
      <c r="H1280" s="24" t="n">
        <v>1</v>
      </c>
      <c r="I1280" s="24" t="n">
        <v>164.55</v>
      </c>
      <c r="J1280" s="24" t="n">
        <v>0</v>
      </c>
      <c r="K1280" s="24" t="n">
        <v>0</v>
      </c>
      <c r="L1280" s="24" t="n">
        <v>0</v>
      </c>
      <c r="M1280" s="6" t="s">
        <f>=I1280+J1280+K1280+L1280</f>
      </c>
      <c r="N1280" s="24"/>
      <c r="O1280" s="22"/>
    </row>
    <row collapsed="false" customFormat="false" customHeight="false" hidden="false" ht="12.1" outlineLevel="0" r="1281">
      <c r="A1281" s="21" t="n">
        <v>46017.489282407</v>
      </c>
      <c r="B1281" s="22" t="s">
        <v>1063</v>
      </c>
      <c r="C1281" s="22" t="s">
        <v>1323</v>
      </c>
      <c r="D1281" s="22" t="s">
        <v>1063</v>
      </c>
      <c r="E1281" s="22" t="s">
        <v>1063</v>
      </c>
      <c r="F1281" s="22" t="s">
        <v>19</v>
      </c>
      <c r="G1281" s="23" t="n">
        <v>1</v>
      </c>
      <c r="H1281" s="24" t="n">
        <v>1</v>
      </c>
      <c r="I1281" s="24" t="n">
        <v>19.48</v>
      </c>
      <c r="J1281" s="24" t="n">
        <v>0</v>
      </c>
      <c r="K1281" s="24" t="n">
        <v>0</v>
      </c>
      <c r="L1281" s="24" t="n">
        <v>0</v>
      </c>
      <c r="M1281" s="6" t="s">
        <f>=I1281+J1281+K1281+L1281</f>
      </c>
      <c r="N1281" s="24"/>
      <c r="O1281" s="22"/>
    </row>
    <row collapsed="false" customFormat="false" customHeight="false" hidden="false" ht="12.1" outlineLevel="0" r="1282">
      <c r="A1282" s="21" t="n">
        <v>46020.46662037</v>
      </c>
      <c r="B1282" s="22" t="s">
        <v>1063</v>
      </c>
      <c r="C1282" s="22" t="s">
        <v>1191</v>
      </c>
      <c r="D1282" s="22" t="s">
        <v>1063</v>
      </c>
      <c r="E1282" s="22" t="s">
        <v>1063</v>
      </c>
      <c r="F1282" s="22" t="s">
        <v>19</v>
      </c>
      <c r="G1282" s="23" t="n">
        <v>1</v>
      </c>
      <c r="H1282" s="24" t="n">
        <v>1</v>
      </c>
      <c r="I1282" s="24" t="n">
        <v>32.9</v>
      </c>
      <c r="J1282" s="24" t="n">
        <v>0</v>
      </c>
      <c r="K1282" s="24" t="n">
        <v>0</v>
      </c>
      <c r="L1282" s="24" t="n">
        <v>0</v>
      </c>
      <c r="M1282" s="6" t="s">
        <f>=I1282+J1282+K1282+L1282</f>
      </c>
      <c r="N1282" s="24"/>
      <c r="O1282" s="22"/>
    </row>
    <row collapsed="false" customFormat="false" customHeight="false" hidden="false" ht="12.1" outlineLevel="0" r="1283">
      <c r="A1283" s="21" t="n">
        <v>46024.880902778</v>
      </c>
      <c r="B1283" s="22" t="s">
        <v>1056</v>
      </c>
      <c r="C1283" s="22" t="s">
        <v>350</v>
      </c>
      <c r="D1283" s="22" t="s">
        <v>1056</v>
      </c>
      <c r="E1283" s="22" t="s">
        <v>1056</v>
      </c>
      <c r="F1283" s="22" t="s">
        <v>19</v>
      </c>
      <c r="G1283" s="23" t="n">
        <v>1</v>
      </c>
      <c r="H1283" s="24" t="n">
        <v>1</v>
      </c>
      <c r="I1283" s="24" t="n">
        <v>11580</v>
      </c>
      <c r="J1283" s="24" t="n">
        <v>0</v>
      </c>
      <c r="K1283" s="24" t="n">
        <v>0</v>
      </c>
      <c r="L1283" s="24" t="n">
        <v>0</v>
      </c>
      <c r="M1283" s="6" t="s">
        <f>=I1283+J1283+K1283+L1283</f>
      </c>
      <c r="N1283" s="24"/>
      <c r="O1283" s="22"/>
    </row>
    <row collapsed="false" customFormat="false" customHeight="false" hidden="false" ht="12.1" outlineLevel="0" r="1284">
      <c r="A1284" s="20" t="n">
        <v>46027.468854167</v>
      </c>
      <c r="B1284" s="16" t="s">
        <v>169</v>
      </c>
      <c r="C1284" s="16" t="s">
        <v>1348</v>
      </c>
      <c r="D1284" s="16" t="s">
        <v>912</v>
      </c>
      <c r="E1284" s="16" t="s">
        <v>85</v>
      </c>
      <c r="F1284" s="16" t="s">
        <v>19</v>
      </c>
      <c r="G1284" s="7" t="n">
        <v>1</v>
      </c>
      <c r="H1284" s="6" t="n">
        <v>91.29</v>
      </c>
      <c r="I1284" s="6" t="n">
        <v>-912.9</v>
      </c>
      <c r="J1284" s="6" t="n">
        <v>-26.03</v>
      </c>
      <c r="K1284" s="6" t="n">
        <v>-2.74</v>
      </c>
      <c r="L1284" s="6" t="n">
        <v>0</v>
      </c>
      <c r="M1284" s="6" t="s">
        <f>=I1284+J1284+K1284+L1284</f>
      </c>
      <c r="N1284" s="6"/>
      <c r="O1284" s="16"/>
    </row>
    <row collapsed="false" customFormat="false" customHeight="false" hidden="false" ht="12.1" outlineLevel="0" r="1285">
      <c r="A1285" s="20" t="n">
        <v>46027.469201389</v>
      </c>
      <c r="B1285" s="16" t="s">
        <v>148</v>
      </c>
      <c r="C1285" s="16" t="s">
        <v>1342</v>
      </c>
      <c r="D1285" s="16" t="s">
        <v>912</v>
      </c>
      <c r="E1285" s="16" t="s">
        <v>85</v>
      </c>
      <c r="F1285" s="16" t="s">
        <v>19</v>
      </c>
      <c r="G1285" s="7" t="n">
        <v>1</v>
      </c>
      <c r="H1285" s="6" t="n">
        <v>86.315</v>
      </c>
      <c r="I1285" s="6" t="n">
        <v>-863.15</v>
      </c>
      <c r="J1285" s="6" t="n">
        <v>-3.9200000000001</v>
      </c>
      <c r="K1285" s="6" t="n">
        <v>-2.59</v>
      </c>
      <c r="L1285" s="6" t="n">
        <v>0</v>
      </c>
      <c r="M1285" s="6" t="s">
        <f>=I1285+J1285+K1285+L1285</f>
      </c>
      <c r="N1285" s="6"/>
      <c r="O1285" s="16"/>
    </row>
    <row collapsed="false" customFormat="false" customHeight="false" hidden="false" ht="12.1" outlineLevel="0" r="1286">
      <c r="A1286" s="20" t="n">
        <v>46027.469409722</v>
      </c>
      <c r="B1286" s="16" t="s">
        <v>121</v>
      </c>
      <c r="C1286" s="16" t="s">
        <v>1285</v>
      </c>
      <c r="D1286" s="16" t="s">
        <v>912</v>
      </c>
      <c r="E1286" s="16" t="s">
        <v>85</v>
      </c>
      <c r="F1286" s="16" t="s">
        <v>19</v>
      </c>
      <c r="G1286" s="7" t="n">
        <v>1</v>
      </c>
      <c r="H1286" s="6" t="n">
        <v>88.25</v>
      </c>
      <c r="I1286" s="6" t="n">
        <v>-882.5</v>
      </c>
      <c r="J1286" s="6" t="n">
        <v>-29.59</v>
      </c>
      <c r="K1286" s="6" t="n">
        <v>-2.65</v>
      </c>
      <c r="L1286" s="6" t="n">
        <v>0</v>
      </c>
      <c r="M1286" s="6" t="s">
        <f>=I1286+J1286+K1286+L1286</f>
      </c>
      <c r="N1286" s="6"/>
      <c r="O1286" s="16"/>
    </row>
    <row collapsed="false" customFormat="false" customHeight="false" hidden="false" ht="12.1" outlineLevel="0" r="1287">
      <c r="A1287" s="20" t="n">
        <v>46027.469594907</v>
      </c>
      <c r="B1287" s="16" t="s">
        <v>145</v>
      </c>
      <c r="C1287" s="16" t="s">
        <v>1339</v>
      </c>
      <c r="D1287" s="16" t="s">
        <v>912</v>
      </c>
      <c r="E1287" s="16" t="s">
        <v>85</v>
      </c>
      <c r="F1287" s="16" t="s">
        <v>19</v>
      </c>
      <c r="G1287" s="7" t="n">
        <v>1</v>
      </c>
      <c r="H1287" s="6" t="n">
        <v>87.419</v>
      </c>
      <c r="I1287" s="6" t="n">
        <v>-874.19</v>
      </c>
      <c r="J1287" s="6" t="n">
        <v>-4.27</v>
      </c>
      <c r="K1287" s="6" t="n">
        <v>-2.62</v>
      </c>
      <c r="L1287" s="6" t="n">
        <v>0</v>
      </c>
      <c r="M1287" s="6" t="s">
        <f>=I1287+J1287+K1287+L1287</f>
      </c>
      <c r="N1287" s="6"/>
      <c r="O1287" s="16"/>
    </row>
    <row collapsed="false" customFormat="false" customHeight="false" hidden="false" ht="12.1" outlineLevel="0" r="1288">
      <c r="A1288" s="20" t="n">
        <v>46027.469814815</v>
      </c>
      <c r="B1288" s="16" t="s">
        <v>91</v>
      </c>
      <c r="C1288" s="16" t="s">
        <v>1167</v>
      </c>
      <c r="D1288" s="16" t="s">
        <v>912</v>
      </c>
      <c r="E1288" s="16" t="s">
        <v>85</v>
      </c>
      <c r="F1288" s="16" t="s">
        <v>19</v>
      </c>
      <c r="G1288" s="7" t="n">
        <v>1</v>
      </c>
      <c r="H1288" s="6" t="n">
        <v>74.922</v>
      </c>
      <c r="I1288" s="6" t="n">
        <v>-749.22</v>
      </c>
      <c r="J1288" s="6" t="n">
        <v>-9.13</v>
      </c>
      <c r="K1288" s="6" t="n">
        <v>-2.25</v>
      </c>
      <c r="L1288" s="6" t="n">
        <v>0</v>
      </c>
      <c r="M1288" s="6" t="s">
        <f>=I1288+J1288+K1288+L1288</f>
      </c>
      <c r="N1288" s="6"/>
      <c r="O1288" s="16"/>
    </row>
    <row collapsed="false" customFormat="false" customHeight="false" hidden="false" ht="12.1" outlineLevel="0" r="1289">
      <c r="A1289" s="20" t="n">
        <v>46027.470138889</v>
      </c>
      <c r="B1289" s="16" t="s">
        <v>205</v>
      </c>
      <c r="C1289" s="16" t="s">
        <v>1349</v>
      </c>
      <c r="D1289" s="16" t="s">
        <v>912</v>
      </c>
      <c r="E1289" s="16" t="s">
        <v>85</v>
      </c>
      <c r="F1289" s="16" t="s">
        <v>19</v>
      </c>
      <c r="G1289" s="7" t="n">
        <v>1</v>
      </c>
      <c r="H1289" s="6" t="n">
        <v>93.273</v>
      </c>
      <c r="I1289" s="6" t="n">
        <v>-932.73</v>
      </c>
      <c r="J1289" s="6" t="n">
        <v>-27.07</v>
      </c>
      <c r="K1289" s="6" t="n">
        <v>-2.8</v>
      </c>
      <c r="L1289" s="6" t="n">
        <v>0</v>
      </c>
      <c r="M1289" s="6" t="s">
        <f>=I1289+J1289+K1289+L1289</f>
      </c>
      <c r="N1289" s="6"/>
      <c r="O1289" s="16"/>
    </row>
    <row collapsed="false" customFormat="false" customHeight="false" hidden="false" ht="12.1" outlineLevel="0" r="1290">
      <c r="A1290" s="20" t="n">
        <v>46027.470405093</v>
      </c>
      <c r="B1290" s="16" t="s">
        <v>97</v>
      </c>
      <c r="C1290" s="16" t="s">
        <v>1284</v>
      </c>
      <c r="D1290" s="16" t="s">
        <v>912</v>
      </c>
      <c r="E1290" s="16" t="s">
        <v>85</v>
      </c>
      <c r="F1290" s="16" t="s">
        <v>19</v>
      </c>
      <c r="G1290" s="7" t="n">
        <v>1</v>
      </c>
      <c r="H1290" s="6" t="n">
        <v>88.602</v>
      </c>
      <c r="I1290" s="6" t="n">
        <v>-886.02</v>
      </c>
      <c r="J1290" s="6" t="n">
        <v>-34.19</v>
      </c>
      <c r="K1290" s="6" t="n">
        <v>-2.66</v>
      </c>
      <c r="L1290" s="6" t="n">
        <v>0</v>
      </c>
      <c r="M1290" s="6" t="s">
        <f>=I1290+J1290+K1290+L1290</f>
      </c>
      <c r="N1290" s="6"/>
      <c r="O1290" s="16"/>
    </row>
    <row collapsed="false" customFormat="false" customHeight="false" hidden="false" ht="12.1" outlineLevel="0" r="1291">
      <c r="A1291" s="20" t="n">
        <v>46027.470590278</v>
      </c>
      <c r="B1291" s="16" t="s">
        <v>115</v>
      </c>
      <c r="C1291" s="16" t="s">
        <v>1252</v>
      </c>
      <c r="D1291" s="16" t="s">
        <v>912</v>
      </c>
      <c r="E1291" s="16" t="s">
        <v>85</v>
      </c>
      <c r="F1291" s="16" t="s">
        <v>19</v>
      </c>
      <c r="G1291" s="7" t="n">
        <v>1</v>
      </c>
      <c r="H1291" s="6" t="n">
        <v>88.999</v>
      </c>
      <c r="I1291" s="6" t="n">
        <v>-889.99</v>
      </c>
      <c r="J1291" s="6" t="n">
        <v>-13.76</v>
      </c>
      <c r="K1291" s="6" t="n">
        <v>-2.67</v>
      </c>
      <c r="L1291" s="6" t="n">
        <v>0</v>
      </c>
      <c r="M1291" s="6" t="s">
        <f>=I1291+J1291+K1291+L1291</f>
      </c>
      <c r="N1291" s="6"/>
      <c r="O1291" s="16"/>
    </row>
    <row collapsed="false" customFormat="false" customHeight="false" hidden="false" ht="12.1" outlineLevel="0" r="1292">
      <c r="A1292" s="20" t="n">
        <v>46027.470844907</v>
      </c>
      <c r="B1292" s="16" t="s">
        <v>208</v>
      </c>
      <c r="C1292" s="16" t="s">
        <v>1350</v>
      </c>
      <c r="D1292" s="16" t="s">
        <v>912</v>
      </c>
      <c r="E1292" s="16" t="s">
        <v>85</v>
      </c>
      <c r="F1292" s="16" t="s">
        <v>19</v>
      </c>
      <c r="G1292" s="7" t="n">
        <v>1</v>
      </c>
      <c r="H1292" s="6" t="n">
        <v>93.549</v>
      </c>
      <c r="I1292" s="6" t="n">
        <v>-935.49</v>
      </c>
      <c r="J1292" s="6" t="n">
        <v>-27.07</v>
      </c>
      <c r="K1292" s="6" t="n">
        <v>-2.81</v>
      </c>
      <c r="L1292" s="6" t="n">
        <v>0</v>
      </c>
      <c r="M1292" s="6" t="s">
        <f>=I1292+J1292+K1292+L1292</f>
      </c>
      <c r="N1292" s="6"/>
      <c r="O1292" s="16"/>
    </row>
    <row collapsed="false" customFormat="false" customHeight="false" hidden="false" ht="12.1" outlineLevel="0" r="1293">
      <c r="A1293" s="20" t="n">
        <v>46027.471064815</v>
      </c>
      <c r="B1293" s="16" t="s">
        <v>118</v>
      </c>
      <c r="C1293" s="16" t="s">
        <v>1192</v>
      </c>
      <c r="D1293" s="16" t="s">
        <v>912</v>
      </c>
      <c r="E1293" s="16" t="s">
        <v>85</v>
      </c>
      <c r="F1293" s="16" t="s">
        <v>19</v>
      </c>
      <c r="G1293" s="7" t="n">
        <v>1</v>
      </c>
      <c r="H1293" s="6" t="n">
        <v>80.456</v>
      </c>
      <c r="I1293" s="6" t="n">
        <v>-804.56</v>
      </c>
      <c r="J1293" s="6" t="n">
        <v>-10.67</v>
      </c>
      <c r="K1293" s="6" t="n">
        <v>-2.41</v>
      </c>
      <c r="L1293" s="6" t="n">
        <v>0</v>
      </c>
      <c r="M1293" s="6" t="s">
        <f>=I1293+J1293+K1293+L1293</f>
      </c>
      <c r="N1293" s="6"/>
      <c r="O1293" s="16"/>
    </row>
    <row collapsed="false" customFormat="false" customHeight="false" hidden="false" ht="12.1" outlineLevel="0" r="1294">
      <c r="A1294" s="20" t="n">
        <v>46027.471238426</v>
      </c>
      <c r="B1294" s="16" t="s">
        <v>169</v>
      </c>
      <c r="C1294" s="16" t="s">
        <v>1348</v>
      </c>
      <c r="D1294" s="16" t="s">
        <v>912</v>
      </c>
      <c r="E1294" s="16" t="s">
        <v>85</v>
      </c>
      <c r="F1294" s="16" t="s">
        <v>19</v>
      </c>
      <c r="G1294" s="7" t="n">
        <v>1</v>
      </c>
      <c r="H1294" s="6" t="n">
        <v>91.294</v>
      </c>
      <c r="I1294" s="6" t="n">
        <v>-912.94</v>
      </c>
      <c r="J1294" s="6" t="n">
        <v>-26.03</v>
      </c>
      <c r="K1294" s="6" t="n">
        <v>-2.74</v>
      </c>
      <c r="L1294" s="6" t="n">
        <v>0</v>
      </c>
      <c r="M1294" s="6" t="s">
        <f>=I1294+J1294+K1294+L1294</f>
      </c>
      <c r="N1294" s="6"/>
      <c r="O1294" s="16"/>
    </row>
    <row collapsed="false" customFormat="false" customHeight="false" hidden="false" ht="12.1" outlineLevel="0" r="1295">
      <c r="A1295" s="20" t="n">
        <v>46027.471388889</v>
      </c>
      <c r="B1295" s="16" t="s">
        <v>148</v>
      </c>
      <c r="C1295" s="16" t="s">
        <v>1342</v>
      </c>
      <c r="D1295" s="16" t="s">
        <v>912</v>
      </c>
      <c r="E1295" s="16" t="s">
        <v>85</v>
      </c>
      <c r="F1295" s="16" t="s">
        <v>19</v>
      </c>
      <c r="G1295" s="7" t="n">
        <v>1</v>
      </c>
      <c r="H1295" s="6" t="n">
        <v>86.314</v>
      </c>
      <c r="I1295" s="6" t="n">
        <v>-863.14</v>
      </c>
      <c r="J1295" s="6" t="n">
        <v>-3.92</v>
      </c>
      <c r="K1295" s="6" t="n">
        <v>-2.59</v>
      </c>
      <c r="L1295" s="6" t="n">
        <v>0</v>
      </c>
      <c r="M1295" s="6" t="s">
        <f>=I1295+J1295+K1295+L1295</f>
      </c>
      <c r="N1295" s="6"/>
      <c r="O1295" s="16"/>
    </row>
    <row collapsed="false" customFormat="false" customHeight="false" hidden="false" ht="12.1" outlineLevel="0" r="1296">
      <c r="A1296" s="20" t="n">
        <v>46027.471597222</v>
      </c>
      <c r="B1296" s="16" t="s">
        <v>121</v>
      </c>
      <c r="C1296" s="16" t="s">
        <v>1285</v>
      </c>
      <c r="D1296" s="16" t="s">
        <v>912</v>
      </c>
      <c r="E1296" s="16" t="s">
        <v>85</v>
      </c>
      <c r="F1296" s="16" t="s">
        <v>19</v>
      </c>
      <c r="G1296" s="7" t="n">
        <v>1</v>
      </c>
      <c r="H1296" s="6" t="n">
        <v>88.25</v>
      </c>
      <c r="I1296" s="6" t="n">
        <v>-882.5</v>
      </c>
      <c r="J1296" s="6" t="n">
        <v>-29.59</v>
      </c>
      <c r="K1296" s="6" t="n">
        <v>-2.65</v>
      </c>
      <c r="L1296" s="6" t="n">
        <v>0</v>
      </c>
      <c r="M1296" s="6" t="s">
        <f>=I1296+J1296+K1296+L1296</f>
      </c>
      <c r="N1296" s="6"/>
      <c r="O1296" s="16"/>
    </row>
    <row collapsed="false" customFormat="false" customHeight="false" hidden="false" ht="12.1" outlineLevel="0" r="1297">
      <c r="A1297" s="20" t="n">
        <v>46027.471770833</v>
      </c>
      <c r="B1297" s="16" t="s">
        <v>145</v>
      </c>
      <c r="C1297" s="16" t="s">
        <v>1339</v>
      </c>
      <c r="D1297" s="16" t="s">
        <v>912</v>
      </c>
      <c r="E1297" s="16" t="s">
        <v>85</v>
      </c>
      <c r="F1297" s="16" t="s">
        <v>19</v>
      </c>
      <c r="G1297" s="7" t="n">
        <v>1</v>
      </c>
      <c r="H1297" s="6" t="n">
        <v>87.419</v>
      </c>
      <c r="I1297" s="6" t="n">
        <v>-874.19</v>
      </c>
      <c r="J1297" s="6" t="n">
        <v>-4.27</v>
      </c>
      <c r="K1297" s="6" t="n">
        <v>-2.62</v>
      </c>
      <c r="L1297" s="6" t="n">
        <v>0</v>
      </c>
      <c r="M1297" s="6" t="s">
        <f>=I1297+J1297+K1297+L1297</f>
      </c>
      <c r="N1297" s="6"/>
      <c r="O1297" s="16"/>
    </row>
    <row collapsed="false" customFormat="false" customHeight="false" hidden="false" ht="12.1" outlineLevel="0" r="1298">
      <c r="A1298" s="20" t="n">
        <v>46027.471967593</v>
      </c>
      <c r="B1298" s="16" t="s">
        <v>91</v>
      </c>
      <c r="C1298" s="16" t="s">
        <v>1167</v>
      </c>
      <c r="D1298" s="16" t="s">
        <v>912</v>
      </c>
      <c r="E1298" s="16" t="s">
        <v>85</v>
      </c>
      <c r="F1298" s="16" t="s">
        <v>19</v>
      </c>
      <c r="G1298" s="7" t="n">
        <v>1</v>
      </c>
      <c r="H1298" s="6" t="n">
        <v>74.92</v>
      </c>
      <c r="I1298" s="6" t="n">
        <v>-749.2</v>
      </c>
      <c r="J1298" s="6" t="n">
        <v>-9.13</v>
      </c>
      <c r="K1298" s="6" t="n">
        <v>-2.25</v>
      </c>
      <c r="L1298" s="6" t="n">
        <v>0</v>
      </c>
      <c r="M1298" s="6" t="s">
        <f>=I1298+J1298+K1298+L1298</f>
      </c>
      <c r="N1298" s="6"/>
      <c r="O1298" s="16"/>
    </row>
    <row collapsed="false" customFormat="false" customHeight="false" hidden="false" ht="12.1" outlineLevel="0" r="1299">
      <c r="A1299" s="20" t="n">
        <v>46027.47275463</v>
      </c>
      <c r="B1299" s="16" t="s">
        <v>205</v>
      </c>
      <c r="C1299" s="16" t="s">
        <v>1349</v>
      </c>
      <c r="D1299" s="16" t="s">
        <v>912</v>
      </c>
      <c r="E1299" s="16" t="s">
        <v>85</v>
      </c>
      <c r="F1299" s="16" t="s">
        <v>19</v>
      </c>
      <c r="G1299" s="7" t="n">
        <v>1</v>
      </c>
      <c r="H1299" s="6" t="n">
        <v>93.27</v>
      </c>
      <c r="I1299" s="6" t="n">
        <v>-932.7</v>
      </c>
      <c r="J1299" s="6" t="n">
        <v>-27.07</v>
      </c>
      <c r="K1299" s="6" t="n">
        <v>-2.8</v>
      </c>
      <c r="L1299" s="6" t="n">
        <v>0</v>
      </c>
      <c r="M1299" s="6" t="s">
        <f>=I1299+J1299+K1299+L1299</f>
      </c>
      <c r="N1299" s="6"/>
      <c r="O1299" s="16"/>
    </row>
    <row collapsed="false" customFormat="false" customHeight="false" hidden="false" ht="12.1" outlineLevel="0" r="1300">
      <c r="A1300" s="20" t="n">
        <v>46027.472939815</v>
      </c>
      <c r="B1300" s="16" t="s">
        <v>97</v>
      </c>
      <c r="C1300" s="16" t="s">
        <v>1284</v>
      </c>
      <c r="D1300" s="16" t="s">
        <v>912</v>
      </c>
      <c r="E1300" s="16" t="s">
        <v>85</v>
      </c>
      <c r="F1300" s="16" t="s">
        <v>19</v>
      </c>
      <c r="G1300" s="7" t="n">
        <v>1</v>
      </c>
      <c r="H1300" s="6" t="n">
        <v>88.601</v>
      </c>
      <c r="I1300" s="6" t="n">
        <v>-886.01</v>
      </c>
      <c r="J1300" s="6" t="n">
        <v>-34.19</v>
      </c>
      <c r="K1300" s="6" t="n">
        <v>-2.66</v>
      </c>
      <c r="L1300" s="6" t="n">
        <v>0</v>
      </c>
      <c r="M1300" s="6" t="s">
        <f>=I1300+J1300+K1300+L1300</f>
      </c>
      <c r="N1300" s="6"/>
      <c r="O1300" s="16"/>
    </row>
    <row collapsed="false" customFormat="false" customHeight="false" hidden="false" ht="12.1" outlineLevel="0" r="1301">
      <c r="A1301" s="20" t="n">
        <v>46027.473113426</v>
      </c>
      <c r="B1301" s="16" t="s">
        <v>115</v>
      </c>
      <c r="C1301" s="16" t="s">
        <v>1252</v>
      </c>
      <c r="D1301" s="16" t="s">
        <v>912</v>
      </c>
      <c r="E1301" s="16" t="s">
        <v>85</v>
      </c>
      <c r="F1301" s="16" t="s">
        <v>19</v>
      </c>
      <c r="G1301" s="7" t="n">
        <v>1</v>
      </c>
      <c r="H1301" s="6" t="n">
        <v>88.997</v>
      </c>
      <c r="I1301" s="6" t="n">
        <v>-889.97</v>
      </c>
      <c r="J1301" s="6" t="n">
        <v>-13.76</v>
      </c>
      <c r="K1301" s="6" t="n">
        <v>-2.67</v>
      </c>
      <c r="L1301" s="6" t="n">
        <v>0</v>
      </c>
      <c r="M1301" s="6" t="s">
        <f>=I1301+J1301+K1301+L1301</f>
      </c>
      <c r="N1301" s="6"/>
      <c r="O1301" s="16"/>
    </row>
    <row collapsed="false" customFormat="false" customHeight="false" hidden="false" ht="12.1" outlineLevel="0" r="1302">
      <c r="A1302" s="20" t="n">
        <v>46027.473333333</v>
      </c>
      <c r="B1302" s="16" t="s">
        <v>208</v>
      </c>
      <c r="C1302" s="16" t="s">
        <v>1350</v>
      </c>
      <c r="D1302" s="16" t="s">
        <v>912</v>
      </c>
      <c r="E1302" s="16" t="s">
        <v>85</v>
      </c>
      <c r="F1302" s="16" t="s">
        <v>19</v>
      </c>
      <c r="G1302" s="7" t="n">
        <v>1</v>
      </c>
      <c r="H1302" s="6" t="n">
        <v>93.549</v>
      </c>
      <c r="I1302" s="6" t="n">
        <v>-935.49</v>
      </c>
      <c r="J1302" s="6" t="n">
        <v>-27.07</v>
      </c>
      <c r="K1302" s="6" t="n">
        <v>-2.81</v>
      </c>
      <c r="L1302" s="6" t="n">
        <v>0</v>
      </c>
      <c r="M1302" s="6" t="s">
        <f>=I1302+J1302+K1302+L1302</f>
      </c>
      <c r="N1302" s="6"/>
      <c r="O1302" s="16"/>
    </row>
    <row collapsed="false" customFormat="false" customHeight="false" hidden="false" ht="12.1" outlineLevel="0" r="1303">
      <c r="A1303" s="20" t="n">
        <v>46027.473553241</v>
      </c>
      <c r="B1303" s="16" t="s">
        <v>118</v>
      </c>
      <c r="C1303" s="16" t="s">
        <v>1192</v>
      </c>
      <c r="D1303" s="16" t="s">
        <v>912</v>
      </c>
      <c r="E1303" s="16" t="s">
        <v>85</v>
      </c>
      <c r="F1303" s="16" t="s">
        <v>19</v>
      </c>
      <c r="G1303" s="7" t="n">
        <v>1</v>
      </c>
      <c r="H1303" s="6" t="n">
        <v>80.457</v>
      </c>
      <c r="I1303" s="6" t="n">
        <v>-804.57</v>
      </c>
      <c r="J1303" s="6" t="n">
        <v>-10.67</v>
      </c>
      <c r="K1303" s="6" t="n">
        <v>-2.41</v>
      </c>
      <c r="L1303" s="6" t="n">
        <v>0</v>
      </c>
      <c r="M1303" s="6" t="s">
        <f>=I1303+J1303+K1303+L1303</f>
      </c>
      <c r="N1303" s="6"/>
      <c r="O1303" s="16"/>
    </row>
    <row collapsed="false" customFormat="false" customHeight="false" hidden="false" ht="12.1" outlineLevel="0" r="1304">
      <c r="A1304" s="20" t="n">
        <v>46027.473738426</v>
      </c>
      <c r="B1304" s="16" t="s">
        <v>169</v>
      </c>
      <c r="C1304" s="16" t="s">
        <v>1348</v>
      </c>
      <c r="D1304" s="16" t="s">
        <v>912</v>
      </c>
      <c r="E1304" s="16" t="s">
        <v>85</v>
      </c>
      <c r="F1304" s="16" t="s">
        <v>19</v>
      </c>
      <c r="G1304" s="7" t="n">
        <v>1</v>
      </c>
      <c r="H1304" s="6" t="n">
        <v>91.29</v>
      </c>
      <c r="I1304" s="6" t="n">
        <v>-912.9</v>
      </c>
      <c r="J1304" s="6" t="n">
        <v>-26.03</v>
      </c>
      <c r="K1304" s="6" t="n">
        <v>-2.74</v>
      </c>
      <c r="L1304" s="6" t="n">
        <v>0</v>
      </c>
      <c r="M1304" s="6" t="s">
        <f>=I1304+J1304+K1304+L1304</f>
      </c>
      <c r="N1304" s="6"/>
      <c r="O1304" s="16"/>
    </row>
    <row collapsed="false" customFormat="false" customHeight="false" hidden="false" ht="12.1" outlineLevel="0" r="1305">
      <c r="A1305" s="20" t="n">
        <v>46027.473946759</v>
      </c>
      <c r="B1305" s="16" t="s">
        <v>148</v>
      </c>
      <c r="C1305" s="16" t="s">
        <v>1342</v>
      </c>
      <c r="D1305" s="16" t="s">
        <v>912</v>
      </c>
      <c r="E1305" s="16" t="s">
        <v>85</v>
      </c>
      <c r="F1305" s="16" t="s">
        <v>19</v>
      </c>
      <c r="G1305" s="7" t="n">
        <v>1</v>
      </c>
      <c r="H1305" s="6" t="n">
        <v>86.314</v>
      </c>
      <c r="I1305" s="6" t="n">
        <v>-863.14</v>
      </c>
      <c r="J1305" s="6" t="n">
        <v>-3.92</v>
      </c>
      <c r="K1305" s="6" t="n">
        <v>-2.59</v>
      </c>
      <c r="L1305" s="6" t="n">
        <v>0</v>
      </c>
      <c r="M1305" s="6" t="s">
        <f>=I1305+J1305+K1305+L1305</f>
      </c>
      <c r="N1305" s="6"/>
      <c r="O1305" s="16"/>
    </row>
    <row collapsed="false" customFormat="false" customHeight="false" hidden="false" ht="12.1" outlineLevel="0" r="1306">
      <c r="A1306" s="21" t="n">
        <v>46034.588414352</v>
      </c>
      <c r="B1306" s="22" t="s">
        <v>1063</v>
      </c>
      <c r="C1306" s="22" t="s">
        <v>1329</v>
      </c>
      <c r="D1306" s="22" t="s">
        <v>1063</v>
      </c>
      <c r="E1306" s="22" t="s">
        <v>1063</v>
      </c>
      <c r="F1306" s="22" t="s">
        <v>19</v>
      </c>
      <c r="G1306" s="23" t="n">
        <v>1</v>
      </c>
      <c r="H1306" s="24" t="n">
        <v>1</v>
      </c>
      <c r="I1306" s="24" t="n">
        <v>3.28</v>
      </c>
      <c r="J1306" s="24" t="n">
        <v>0</v>
      </c>
      <c r="K1306" s="24" t="n">
        <v>0</v>
      </c>
      <c r="L1306" s="24" t="n">
        <v>0</v>
      </c>
      <c r="M1306" s="6" t="s">
        <f>=I1306+J1306+K1306+L1306</f>
      </c>
      <c r="N1306" s="24"/>
      <c r="O1306" s="22"/>
    </row>
    <row collapsed="false" customFormat="false" customHeight="false" hidden="false" ht="12.1" outlineLevel="0" r="1307">
      <c r="A1307" s="21" t="n">
        <v>46034.617789352</v>
      </c>
      <c r="B1307" s="22" t="s">
        <v>1063</v>
      </c>
      <c r="C1307" s="22" t="s">
        <v>1330</v>
      </c>
      <c r="D1307" s="22" t="s">
        <v>1063</v>
      </c>
      <c r="E1307" s="22" t="s">
        <v>1063</v>
      </c>
      <c r="F1307" s="22" t="s">
        <v>19</v>
      </c>
      <c r="G1307" s="23" t="n">
        <v>1</v>
      </c>
      <c r="H1307" s="24" t="n">
        <v>1</v>
      </c>
      <c r="I1307" s="24" t="n">
        <v>44.88</v>
      </c>
      <c r="J1307" s="24" t="n">
        <v>0</v>
      </c>
      <c r="K1307" s="24" t="n">
        <v>0</v>
      </c>
      <c r="L1307" s="24" t="n">
        <v>0</v>
      </c>
      <c r="M1307" s="6" t="s">
        <f>=I1307+J1307+K1307+L1307</f>
      </c>
      <c r="N1307" s="24"/>
      <c r="O1307" s="22"/>
    </row>
    <row collapsed="false" customFormat="false" customHeight="false" hidden="false" ht="12.1" outlineLevel="0" r="1308">
      <c r="A1308" s="21" t="n">
        <v>46034.634699074</v>
      </c>
      <c r="B1308" s="22" t="s">
        <v>1063</v>
      </c>
      <c r="C1308" s="22" t="s">
        <v>1207</v>
      </c>
      <c r="D1308" s="22" t="s">
        <v>1063</v>
      </c>
      <c r="E1308" s="22" t="s">
        <v>1063</v>
      </c>
      <c r="F1308" s="22" t="s">
        <v>19</v>
      </c>
      <c r="G1308" s="23" t="n">
        <v>1</v>
      </c>
      <c r="H1308" s="24" t="n">
        <v>1</v>
      </c>
      <c r="I1308" s="24" t="n">
        <v>14.99</v>
      </c>
      <c r="J1308" s="24" t="n">
        <v>0</v>
      </c>
      <c r="K1308" s="24" t="n">
        <v>0</v>
      </c>
      <c r="L1308" s="24" t="n">
        <v>0</v>
      </c>
      <c r="M1308" s="6" t="s">
        <f>=I1308+J1308+K1308+L1308</f>
      </c>
      <c r="N1308" s="24"/>
      <c r="O1308" s="22"/>
    </row>
    <row collapsed="false" customFormat="false" customHeight="false" hidden="false" ht="12.1" outlineLevel="0" r="1309">
      <c r="A1309" s="21" t="n">
        <v>46034.789305556</v>
      </c>
      <c r="B1309" s="22" t="s">
        <v>1063</v>
      </c>
      <c r="C1309" s="22" t="s">
        <v>1174</v>
      </c>
      <c r="D1309" s="22" t="s">
        <v>1063</v>
      </c>
      <c r="E1309" s="22" t="s">
        <v>1063</v>
      </c>
      <c r="F1309" s="22" t="s">
        <v>19</v>
      </c>
      <c r="G1309" s="23" t="n">
        <v>1</v>
      </c>
      <c r="H1309" s="24" t="n">
        <v>1</v>
      </c>
      <c r="I1309" s="24" t="n">
        <v>30.3</v>
      </c>
      <c r="J1309" s="24" t="n">
        <v>0</v>
      </c>
      <c r="K1309" s="24" t="n">
        <v>0</v>
      </c>
      <c r="L1309" s="24" t="n">
        <v>0</v>
      </c>
      <c r="M1309" s="6" t="s">
        <f>=I1309+J1309+K1309+L1309</f>
      </c>
      <c r="N1309" s="24"/>
      <c r="O1309" s="22"/>
    </row>
    <row collapsed="false" customFormat="false" customHeight="false" hidden="false" ht="12.1" outlineLevel="0" r="1310">
      <c r="A1310" s="21" t="n">
        <v>46035.456261574</v>
      </c>
      <c r="B1310" s="22" t="s">
        <v>1063</v>
      </c>
      <c r="C1310" s="22" t="s">
        <v>1314</v>
      </c>
      <c r="D1310" s="22" t="s">
        <v>1063</v>
      </c>
      <c r="E1310" s="22" t="s">
        <v>1063</v>
      </c>
      <c r="F1310" s="22" t="s">
        <v>19</v>
      </c>
      <c r="G1310" s="23" t="n">
        <v>1</v>
      </c>
      <c r="H1310" s="24" t="n">
        <v>1</v>
      </c>
      <c r="I1310" s="24" t="n">
        <v>14.96</v>
      </c>
      <c r="J1310" s="24" t="n">
        <v>0</v>
      </c>
      <c r="K1310" s="24" t="n">
        <v>0</v>
      </c>
      <c r="L1310" s="24" t="n">
        <v>0</v>
      </c>
      <c r="M1310" s="6" t="s">
        <f>=I1310+J1310+K1310+L1310</f>
      </c>
      <c r="N1310" s="24"/>
      <c r="O1310" s="22"/>
    </row>
    <row collapsed="false" customFormat="false" customHeight="false" hidden="false" ht="12.1" outlineLevel="0" r="1311">
      <c r="A1311" s="21" t="n">
        <v>46035.754826389</v>
      </c>
      <c r="B1311" s="22" t="s">
        <v>1063</v>
      </c>
      <c r="C1311" s="22" t="s">
        <v>1304</v>
      </c>
      <c r="D1311" s="22" t="s">
        <v>1063</v>
      </c>
      <c r="E1311" s="22" t="s">
        <v>1063</v>
      </c>
      <c r="F1311" s="22" t="s">
        <v>19</v>
      </c>
      <c r="G1311" s="23" t="n">
        <v>1</v>
      </c>
      <c r="H1311" s="24" t="n">
        <v>1</v>
      </c>
      <c r="I1311" s="24" t="n">
        <v>49.86</v>
      </c>
      <c r="J1311" s="24" t="n">
        <v>0</v>
      </c>
      <c r="K1311" s="24" t="n">
        <v>0</v>
      </c>
      <c r="L1311" s="24" t="n">
        <v>0</v>
      </c>
      <c r="M1311" s="6" t="s">
        <f>=I1311+J1311+K1311+L1311</f>
      </c>
      <c r="N1311" s="24"/>
      <c r="O1311" s="22"/>
    </row>
    <row collapsed="false" customFormat="false" customHeight="false" hidden="false" ht="12.1" outlineLevel="0" r="1312">
      <c r="A1312" s="21" t="n">
        <v>46035.756273148</v>
      </c>
      <c r="B1312" s="22" t="s">
        <v>1063</v>
      </c>
      <c r="C1312" s="22" t="s">
        <v>1318</v>
      </c>
      <c r="D1312" s="22" t="s">
        <v>1063</v>
      </c>
      <c r="E1312" s="22" t="s">
        <v>1063</v>
      </c>
      <c r="F1312" s="22" t="s">
        <v>19</v>
      </c>
      <c r="G1312" s="23" t="n">
        <v>1</v>
      </c>
      <c r="H1312" s="24" t="n">
        <v>1</v>
      </c>
      <c r="I1312" s="24" t="n">
        <v>19.11</v>
      </c>
      <c r="J1312" s="24" t="n">
        <v>0</v>
      </c>
      <c r="K1312" s="24" t="n">
        <v>0</v>
      </c>
      <c r="L1312" s="24" t="n">
        <v>0</v>
      </c>
      <c r="M1312" s="6" t="s">
        <f>=I1312+J1312+K1312+L1312</f>
      </c>
      <c r="N1312" s="24"/>
      <c r="O1312" s="22"/>
    </row>
    <row collapsed="false" customFormat="false" customHeight="false" hidden="false" ht="12.1" outlineLevel="0" r="1313">
      <c r="A1313" s="25" t="n">
        <v>46036.492789352</v>
      </c>
      <c r="B1313" s="26" t="s">
        <v>1089</v>
      </c>
      <c r="C1313" s="26" t="s">
        <v>1321</v>
      </c>
      <c r="D1313" s="26" t="s">
        <v>1089</v>
      </c>
      <c r="E1313" s="26" t="s">
        <v>1089</v>
      </c>
      <c r="F1313" s="26" t="s">
        <v>19</v>
      </c>
      <c r="G1313" s="27" t="n">
        <v>1</v>
      </c>
      <c r="H1313" s="28" t="n">
        <v>-33</v>
      </c>
      <c r="I1313" s="28" t="n">
        <v>-33</v>
      </c>
      <c r="J1313" s="28" t="n">
        <v>0</v>
      </c>
      <c r="K1313" s="28" t="n">
        <v>0</v>
      </c>
      <c r="L1313" s="28" t="n">
        <v>0</v>
      </c>
      <c r="M1313" s="6" t="s">
        <f>=I1313+J1313+K1313+L1313</f>
      </c>
      <c r="N1313" s="28"/>
      <c r="O1313" s="26"/>
    </row>
    <row collapsed="false" customFormat="false" customHeight="false" hidden="false" ht="12.1" outlineLevel="0" r="1314">
      <c r="A1314" s="21" t="n">
        <v>46036.492789352</v>
      </c>
      <c r="B1314" s="22" t="s">
        <v>1063</v>
      </c>
      <c r="C1314" s="22" t="s">
        <v>1320</v>
      </c>
      <c r="D1314" s="22" t="s">
        <v>1063</v>
      </c>
      <c r="E1314" s="22" t="s">
        <v>1063</v>
      </c>
      <c r="F1314" s="22" t="s">
        <v>19</v>
      </c>
      <c r="G1314" s="23" t="n">
        <v>1</v>
      </c>
      <c r="H1314" s="24" t="n">
        <v>1</v>
      </c>
      <c r="I1314" s="24" t="n">
        <v>252</v>
      </c>
      <c r="J1314" s="24" t="n">
        <v>0</v>
      </c>
      <c r="K1314" s="24" t="n">
        <v>0</v>
      </c>
      <c r="L1314" s="24" t="n">
        <v>0</v>
      </c>
      <c r="M1314" s="6" t="s">
        <f>=I1314+J1314+K1314+L1314</f>
      </c>
      <c r="N1314" s="24"/>
      <c r="O1314" s="22"/>
    </row>
    <row collapsed="false" customFormat="false" customHeight="false" hidden="false" ht="12.1" outlineLevel="0" r="1315">
      <c r="A1315" s="21" t="n">
        <v>46037.610162037</v>
      </c>
      <c r="B1315" s="22" t="s">
        <v>1063</v>
      </c>
      <c r="C1315" s="22" t="s">
        <v>1256</v>
      </c>
      <c r="D1315" s="22" t="s">
        <v>1063</v>
      </c>
      <c r="E1315" s="22" t="s">
        <v>1063</v>
      </c>
      <c r="F1315" s="22" t="s">
        <v>19</v>
      </c>
      <c r="G1315" s="23" t="n">
        <v>1</v>
      </c>
      <c r="H1315" s="24" t="n">
        <v>1</v>
      </c>
      <c r="I1315" s="24" t="n">
        <v>26.18</v>
      </c>
      <c r="J1315" s="24" t="n">
        <v>0</v>
      </c>
      <c r="K1315" s="24" t="n">
        <v>0</v>
      </c>
      <c r="L1315" s="24" t="n">
        <v>0</v>
      </c>
      <c r="M1315" s="6" t="s">
        <f>=I1315+J1315+K1315+L1315</f>
      </c>
      <c r="N1315" s="24"/>
      <c r="O1315" s="22"/>
    </row>
    <row collapsed="false" customFormat="false" customHeight="false" hidden="false" ht="12.1" outlineLevel="0" r="1316">
      <c r="A1316" s="21" t="n">
        <v>46038.52306713</v>
      </c>
      <c r="B1316" s="22" t="s">
        <v>1063</v>
      </c>
      <c r="C1316" s="22" t="s">
        <v>1332</v>
      </c>
      <c r="D1316" s="22" t="s">
        <v>1063</v>
      </c>
      <c r="E1316" s="22" t="s">
        <v>1063</v>
      </c>
      <c r="F1316" s="22" t="s">
        <v>19</v>
      </c>
      <c r="G1316" s="23" t="n">
        <v>1</v>
      </c>
      <c r="H1316" s="24" t="n">
        <v>1</v>
      </c>
      <c r="I1316" s="24" t="n">
        <v>86.26</v>
      </c>
      <c r="J1316" s="24" t="n">
        <v>0</v>
      </c>
      <c r="K1316" s="24" t="n">
        <v>0</v>
      </c>
      <c r="L1316" s="24" t="n">
        <v>0</v>
      </c>
      <c r="M1316" s="6" t="s">
        <f>=I1316+J1316+K1316+L1316</f>
      </c>
      <c r="N1316" s="24"/>
      <c r="O1316" s="22"/>
    </row>
    <row collapsed="false" customFormat="false" customHeight="false" hidden="false" ht="12.1" outlineLevel="0" r="1317">
      <c r="A1317" s="21" t="n">
        <v>46038.527523148</v>
      </c>
      <c r="B1317" s="22" t="s">
        <v>1063</v>
      </c>
      <c r="C1317" s="22" t="s">
        <v>1333</v>
      </c>
      <c r="D1317" s="22" t="s">
        <v>1063</v>
      </c>
      <c r="E1317" s="22" t="s">
        <v>1063</v>
      </c>
      <c r="F1317" s="22" t="s">
        <v>19</v>
      </c>
      <c r="G1317" s="23" t="n">
        <v>1</v>
      </c>
      <c r="H1317" s="24" t="n">
        <v>1</v>
      </c>
      <c r="I1317" s="24" t="n">
        <v>50.86</v>
      </c>
      <c r="J1317" s="24" t="n">
        <v>0</v>
      </c>
      <c r="K1317" s="24" t="n">
        <v>0</v>
      </c>
      <c r="L1317" s="24" t="n">
        <v>0</v>
      </c>
      <c r="M1317" s="6" t="s">
        <f>=I1317+J1317+K1317+L1317</f>
      </c>
      <c r="N1317" s="24"/>
      <c r="O1317" s="22"/>
    </row>
    <row collapsed="false" customFormat="false" customHeight="false" hidden="false" ht="12.1" outlineLevel="0" r="1318">
      <c r="A1318" s="21" t="n">
        <v>46042.521956019</v>
      </c>
      <c r="B1318" s="22" t="s">
        <v>1063</v>
      </c>
      <c r="C1318" s="22" t="s">
        <v>1303</v>
      </c>
      <c r="D1318" s="22" t="s">
        <v>1063</v>
      </c>
      <c r="E1318" s="22" t="s">
        <v>1063</v>
      </c>
      <c r="F1318" s="22" t="s">
        <v>19</v>
      </c>
      <c r="G1318" s="23" t="n">
        <v>1</v>
      </c>
      <c r="H1318" s="24" t="n">
        <v>1</v>
      </c>
      <c r="I1318" s="24" t="n">
        <v>14.86</v>
      </c>
      <c r="J1318" s="24" t="n">
        <v>0</v>
      </c>
      <c r="K1318" s="24" t="n">
        <v>0</v>
      </c>
      <c r="L1318" s="24" t="n">
        <v>0</v>
      </c>
      <c r="M1318" s="6" t="s">
        <f>=I1318+J1318+K1318+L1318</f>
      </c>
      <c r="N1318" s="24"/>
      <c r="O1318" s="22"/>
    </row>
    <row collapsed="false" customFormat="false" customHeight="false" hidden="false" ht="12.1" outlineLevel="0" r="1319">
      <c r="A1319" s="21" t="n">
        <v>46042.653680556</v>
      </c>
      <c r="B1319" s="22" t="s">
        <v>1063</v>
      </c>
      <c r="C1319" s="22" t="s">
        <v>1322</v>
      </c>
      <c r="D1319" s="22" t="s">
        <v>1063</v>
      </c>
      <c r="E1319" s="22" t="s">
        <v>1063</v>
      </c>
      <c r="F1319" s="22" t="s">
        <v>19</v>
      </c>
      <c r="G1319" s="23" t="n">
        <v>1</v>
      </c>
      <c r="H1319" s="24" t="n">
        <v>1</v>
      </c>
      <c r="I1319" s="24" t="n">
        <v>20.96</v>
      </c>
      <c r="J1319" s="24" t="n">
        <v>0</v>
      </c>
      <c r="K1319" s="24" t="n">
        <v>0</v>
      </c>
      <c r="L1319" s="24" t="n">
        <v>0</v>
      </c>
      <c r="M1319" s="6" t="s">
        <f>=I1319+J1319+K1319+L1319</f>
      </c>
      <c r="N1319" s="24"/>
      <c r="O1319" s="22"/>
    </row>
    <row collapsed="false" customFormat="false" customHeight="false" hidden="false" ht="12.1" outlineLevel="0" r="1320">
      <c r="A1320" s="21" t="n">
        <v>46042.658009259</v>
      </c>
      <c r="B1320" s="22" t="s">
        <v>1063</v>
      </c>
      <c r="C1320" s="22" t="s">
        <v>1251</v>
      </c>
      <c r="D1320" s="22" t="s">
        <v>1063</v>
      </c>
      <c r="E1320" s="22" t="s">
        <v>1063</v>
      </c>
      <c r="F1320" s="22" t="s">
        <v>19</v>
      </c>
      <c r="G1320" s="23" t="n">
        <v>1</v>
      </c>
      <c r="H1320" s="24" t="n">
        <v>1</v>
      </c>
      <c r="I1320" s="24" t="n">
        <v>11.18</v>
      </c>
      <c r="J1320" s="24" t="n">
        <v>0</v>
      </c>
      <c r="K1320" s="24" t="n">
        <v>0</v>
      </c>
      <c r="L1320" s="24" t="n">
        <v>0</v>
      </c>
      <c r="M1320" s="6" t="s">
        <f>=I1320+J1320+K1320+L1320</f>
      </c>
      <c r="N1320" s="24"/>
      <c r="O1320" s="22"/>
    </row>
    <row collapsed="false" customFormat="false" customHeight="false" hidden="false" ht="12.1" outlineLevel="0" r="1321">
      <c r="A1321" s="21" t="n">
        <v>46042.731840278</v>
      </c>
      <c r="B1321" s="22" t="s">
        <v>1063</v>
      </c>
      <c r="C1321" s="22" t="s">
        <v>1278</v>
      </c>
      <c r="D1321" s="22" t="s">
        <v>1063</v>
      </c>
      <c r="E1321" s="22" t="s">
        <v>1063</v>
      </c>
      <c r="F1321" s="22" t="s">
        <v>19</v>
      </c>
      <c r="G1321" s="23" t="n">
        <v>1</v>
      </c>
      <c r="H1321" s="24" t="n">
        <v>1</v>
      </c>
      <c r="I1321" s="24" t="n">
        <v>108.7</v>
      </c>
      <c r="J1321" s="24" t="n">
        <v>0</v>
      </c>
      <c r="K1321" s="24" t="n">
        <v>0</v>
      </c>
      <c r="L1321" s="24" t="n">
        <v>0</v>
      </c>
      <c r="M1321" s="6" t="s">
        <f>=I1321+J1321+K1321+L1321</f>
      </c>
      <c r="N1321" s="24"/>
      <c r="O1321" s="22"/>
    </row>
    <row collapsed="false" customFormat="false" customHeight="false" hidden="false" ht="12.1" outlineLevel="0" r="1322">
      <c r="A1322" s="21" t="n">
        <v>46043.501377315</v>
      </c>
      <c r="B1322" s="22" t="s">
        <v>1063</v>
      </c>
      <c r="C1322" s="22" t="s">
        <v>1195</v>
      </c>
      <c r="D1322" s="22" t="s">
        <v>1063</v>
      </c>
      <c r="E1322" s="22" t="s">
        <v>1063</v>
      </c>
      <c r="F1322" s="22" t="s">
        <v>19</v>
      </c>
      <c r="G1322" s="23" t="n">
        <v>1</v>
      </c>
      <c r="H1322" s="24" t="n">
        <v>1</v>
      </c>
      <c r="I1322" s="24" t="n">
        <v>11.66</v>
      </c>
      <c r="J1322" s="24" t="n">
        <v>0</v>
      </c>
      <c r="K1322" s="24" t="n">
        <v>0</v>
      </c>
      <c r="L1322" s="24" t="n">
        <v>0</v>
      </c>
      <c r="M1322" s="6" t="s">
        <f>=I1322+J1322+K1322+L1322</f>
      </c>
      <c r="N1322" s="24"/>
      <c r="O1322" s="22"/>
    </row>
    <row collapsed="false" customFormat="false" customHeight="false" hidden="false" ht="12.1" outlineLevel="0" r="1323">
      <c r="A1323" s="21" t="n">
        <v>46043.501516204</v>
      </c>
      <c r="B1323" s="22" t="s">
        <v>1073</v>
      </c>
      <c r="C1323" s="22" t="s">
        <v>1279</v>
      </c>
      <c r="D1323" s="22" t="s">
        <v>1073</v>
      </c>
      <c r="E1323" s="22" t="s">
        <v>1073</v>
      </c>
      <c r="F1323" s="22" t="s">
        <v>19</v>
      </c>
      <c r="G1323" s="23" t="n">
        <v>1</v>
      </c>
      <c r="H1323" s="24" t="n">
        <v>1</v>
      </c>
      <c r="I1323" s="24" t="n">
        <v>165</v>
      </c>
      <c r="J1323" s="24" t="n">
        <v>0</v>
      </c>
      <c r="K1323" s="24" t="n">
        <v>0</v>
      </c>
      <c r="L1323" s="24" t="n">
        <v>0</v>
      </c>
      <c r="M1323" s="6" t="s">
        <f>=I1323+J1323+K1323+L1323</f>
      </c>
      <c r="N1323" s="24"/>
      <c r="O1323" s="22"/>
    </row>
    <row collapsed="false" customFormat="false" customHeight="false" hidden="false" ht="12.1" outlineLevel="0" r="1324">
      <c r="A1324" s="21" t="n">
        <v>46043.517523148</v>
      </c>
      <c r="B1324" s="22" t="s">
        <v>1063</v>
      </c>
      <c r="C1324" s="22" t="s">
        <v>1235</v>
      </c>
      <c r="D1324" s="22" t="s">
        <v>1063</v>
      </c>
      <c r="E1324" s="22" t="s">
        <v>1063</v>
      </c>
      <c r="F1324" s="22" t="s">
        <v>19</v>
      </c>
      <c r="G1324" s="23" t="n">
        <v>1</v>
      </c>
      <c r="H1324" s="24" t="n">
        <v>1</v>
      </c>
      <c r="I1324" s="24" t="n">
        <v>28.94</v>
      </c>
      <c r="J1324" s="24" t="n">
        <v>0</v>
      </c>
      <c r="K1324" s="24" t="n">
        <v>0</v>
      </c>
      <c r="L1324" s="24" t="n">
        <v>0</v>
      </c>
      <c r="M1324" s="6" t="s">
        <f>=I1324+J1324+K1324+L1324</f>
      </c>
      <c r="N1324" s="24"/>
      <c r="O1324" s="22"/>
    </row>
    <row collapsed="false" customFormat="false" customHeight="false" hidden="false" ht="12.1" outlineLevel="0" r="1325">
      <c r="A1325" s="21" t="n">
        <v>46044.474513889</v>
      </c>
      <c r="B1325" s="22" t="s">
        <v>1063</v>
      </c>
      <c r="C1325" s="22" t="s">
        <v>1180</v>
      </c>
      <c r="D1325" s="22" t="s">
        <v>1063</v>
      </c>
      <c r="E1325" s="22" t="s">
        <v>1063</v>
      </c>
      <c r="F1325" s="22" t="s">
        <v>19</v>
      </c>
      <c r="G1325" s="23" t="n">
        <v>1</v>
      </c>
      <c r="H1325" s="24" t="n">
        <v>1</v>
      </c>
      <c r="I1325" s="24" t="n">
        <v>44.13</v>
      </c>
      <c r="J1325" s="24" t="n">
        <v>0</v>
      </c>
      <c r="K1325" s="24" t="n">
        <v>0</v>
      </c>
      <c r="L1325" s="24" t="n">
        <v>0</v>
      </c>
      <c r="M1325" s="6" t="s">
        <f>=I1325+J1325+K1325+L1325</f>
      </c>
      <c r="N1325" s="24"/>
      <c r="O1325" s="22"/>
    </row>
    <row collapsed="false" customFormat="false" customHeight="false" hidden="false" ht="12.1" outlineLevel="0" r="1326">
      <c r="A1326" s="21" t="n">
        <v>46044.490046296</v>
      </c>
      <c r="B1326" s="22" t="s">
        <v>1063</v>
      </c>
      <c r="C1326" s="22" t="s">
        <v>1160</v>
      </c>
      <c r="D1326" s="22" t="s">
        <v>1063</v>
      </c>
      <c r="E1326" s="22" t="s">
        <v>1063</v>
      </c>
      <c r="F1326" s="22" t="s">
        <v>19</v>
      </c>
      <c r="G1326" s="23" t="n">
        <v>1</v>
      </c>
      <c r="H1326" s="24" t="n">
        <v>1</v>
      </c>
      <c r="I1326" s="24" t="n">
        <v>43.38</v>
      </c>
      <c r="J1326" s="24" t="n">
        <v>0</v>
      </c>
      <c r="K1326" s="24" t="n">
        <v>0</v>
      </c>
      <c r="L1326" s="24" t="n">
        <v>0</v>
      </c>
      <c r="M1326" s="6" t="s">
        <f>=I1326+J1326+K1326+L1326</f>
      </c>
      <c r="N1326" s="24"/>
      <c r="O1326" s="22"/>
    </row>
    <row collapsed="false" customFormat="false" customHeight="false" hidden="false" ht="12.1" outlineLevel="0" r="1327">
      <c r="A1327" s="21" t="n">
        <v>46048.718993056</v>
      </c>
      <c r="B1327" s="22" t="s">
        <v>1063</v>
      </c>
      <c r="C1327" s="22" t="s">
        <v>1280</v>
      </c>
      <c r="D1327" s="22" t="s">
        <v>1063</v>
      </c>
      <c r="E1327" s="22" t="s">
        <v>1063</v>
      </c>
      <c r="F1327" s="22" t="s">
        <v>19</v>
      </c>
      <c r="G1327" s="23" t="n">
        <v>1</v>
      </c>
      <c r="H1327" s="24" t="n">
        <v>1</v>
      </c>
      <c r="I1327" s="24" t="n">
        <v>81.3</v>
      </c>
      <c r="J1327" s="24" t="n">
        <v>0</v>
      </c>
      <c r="K1327" s="24" t="n">
        <v>0</v>
      </c>
      <c r="L1327" s="24" t="n">
        <v>0</v>
      </c>
      <c r="M1327" s="6" t="s">
        <f>=I1327+J1327+K1327+L1327</f>
      </c>
      <c r="N1327" s="24"/>
      <c r="O1327" s="22"/>
    </row>
    <row collapsed="false" customFormat="false" customHeight="false" hidden="false" ht="12.1" outlineLevel="0" r="1328">
      <c r="A1328" s="25" t="n">
        <v>46048.718993056</v>
      </c>
      <c r="B1328" s="26" t="s">
        <v>1089</v>
      </c>
      <c r="C1328" s="26" t="s">
        <v>1281</v>
      </c>
      <c r="D1328" s="26" t="s">
        <v>1089</v>
      </c>
      <c r="E1328" s="26" t="s">
        <v>1089</v>
      </c>
      <c r="F1328" s="26" t="s">
        <v>19</v>
      </c>
      <c r="G1328" s="27" t="n">
        <v>1</v>
      </c>
      <c r="H1328" s="28" t="n">
        <v>-10</v>
      </c>
      <c r="I1328" s="28" t="n">
        <v>-10</v>
      </c>
      <c r="J1328" s="28" t="n">
        <v>0</v>
      </c>
      <c r="K1328" s="28" t="n">
        <v>0</v>
      </c>
      <c r="L1328" s="28" t="n">
        <v>0</v>
      </c>
      <c r="M1328" s="6" t="s">
        <f>=I1328+J1328+K1328+L1328</f>
      </c>
      <c r="N1328" s="28"/>
      <c r="O1328" s="26"/>
    </row>
    <row collapsed="false" customFormat="false" customHeight="false" hidden="false" ht="12.1" outlineLevel="0" r="1329">
      <c r="A1329" s="21" t="n">
        <v>46049.474826389</v>
      </c>
      <c r="B1329" s="22" t="s">
        <v>1063</v>
      </c>
      <c r="C1329" s="22" t="s">
        <v>1323</v>
      </c>
      <c r="D1329" s="22" t="s">
        <v>1063</v>
      </c>
      <c r="E1329" s="22" t="s">
        <v>1063</v>
      </c>
      <c r="F1329" s="22" t="s">
        <v>19</v>
      </c>
      <c r="G1329" s="23" t="n">
        <v>1</v>
      </c>
      <c r="H1329" s="24" t="n">
        <v>1</v>
      </c>
      <c r="I1329" s="24" t="n">
        <v>19.48</v>
      </c>
      <c r="J1329" s="24" t="n">
        <v>0</v>
      </c>
      <c r="K1329" s="24" t="n">
        <v>0</v>
      </c>
      <c r="L1329" s="24" t="n">
        <v>0</v>
      </c>
      <c r="M1329" s="6" t="s">
        <f>=I1329+J1329+K1329+L1329</f>
      </c>
      <c r="N1329" s="24"/>
      <c r="O1329" s="22"/>
    </row>
    <row collapsed="false" customFormat="false" customHeight="false" hidden="false" ht="12.1" outlineLevel="0" r="1330">
      <c r="A1330" s="21" t="n">
        <v>46050.48</v>
      </c>
      <c r="B1330" s="22" t="s">
        <v>1063</v>
      </c>
      <c r="C1330" s="22" t="s">
        <v>1117</v>
      </c>
      <c r="D1330" s="22" t="s">
        <v>1063</v>
      </c>
      <c r="E1330" s="22" t="s">
        <v>1063</v>
      </c>
      <c r="F1330" s="22" t="s">
        <v>19</v>
      </c>
      <c r="G1330" s="23" t="n">
        <v>1</v>
      </c>
      <c r="H1330" s="24" t="n">
        <v>1</v>
      </c>
      <c r="I1330" s="24" t="n">
        <v>28.22</v>
      </c>
      <c r="J1330" s="24" t="n">
        <v>0</v>
      </c>
      <c r="K1330" s="24" t="n">
        <v>0</v>
      </c>
      <c r="L1330" s="24" t="n">
        <v>0</v>
      </c>
      <c r="M1330" s="6" t="s">
        <f>=I1330+J1330+K1330+L1330</f>
      </c>
      <c r="N1330" s="24"/>
      <c r="O1330" s="22"/>
    </row>
    <row collapsed="false" customFormat="false" customHeight="false" hidden="false" ht="12.1" outlineLevel="0" r="1331">
      <c r="A1331" s="21" t="n">
        <v>46050.592372685</v>
      </c>
      <c r="B1331" s="22" t="s">
        <v>1073</v>
      </c>
      <c r="C1331" s="22" t="s">
        <v>1351</v>
      </c>
      <c r="D1331" s="22" t="s">
        <v>1073</v>
      </c>
      <c r="E1331" s="22" t="s">
        <v>1073</v>
      </c>
      <c r="F1331" s="22" t="s">
        <v>19</v>
      </c>
      <c r="G1331" s="23" t="n">
        <v>1</v>
      </c>
      <c r="H1331" s="24" t="n">
        <v>1</v>
      </c>
      <c r="I1331" s="24" t="n">
        <v>250</v>
      </c>
      <c r="J1331" s="24" t="n">
        <v>0</v>
      </c>
      <c r="K1331" s="24" t="n">
        <v>0</v>
      </c>
      <c r="L1331" s="24" t="n">
        <v>0</v>
      </c>
      <c r="M1331" s="6" t="s">
        <f>=I1331+J1331+K1331+L1331</f>
      </c>
      <c r="N1331" s="24"/>
      <c r="O1331" s="22"/>
    </row>
    <row collapsed="false" customFormat="false" customHeight="false" hidden="false" ht="12.1" outlineLevel="0" r="1332">
      <c r="A1332" s="21" t="n">
        <v>46050.592685185</v>
      </c>
      <c r="B1332" s="22" t="s">
        <v>1063</v>
      </c>
      <c r="C1332" s="22" t="s">
        <v>1236</v>
      </c>
      <c r="D1332" s="22" t="s">
        <v>1063</v>
      </c>
      <c r="E1332" s="22" t="s">
        <v>1063</v>
      </c>
      <c r="F1332" s="22" t="s">
        <v>19</v>
      </c>
      <c r="G1332" s="23" t="n">
        <v>1</v>
      </c>
      <c r="H1332" s="24" t="n">
        <v>1</v>
      </c>
      <c r="I1332" s="24" t="n">
        <v>58.34</v>
      </c>
      <c r="J1332" s="24" t="n">
        <v>0</v>
      </c>
      <c r="K1332" s="24" t="n">
        <v>0</v>
      </c>
      <c r="L1332" s="24" t="n">
        <v>0</v>
      </c>
      <c r="M1332" s="6" t="s">
        <f>=I1332+J1332+K1332+L1332</f>
      </c>
      <c r="N1332" s="24"/>
      <c r="O1332" s="22"/>
    </row>
    <row collapsed="false" customFormat="false" customHeight="false" hidden="false" ht="12.1" outlineLevel="0" r="1333">
      <c r="A1333" s="21" t="n">
        <v>46051.469988426</v>
      </c>
      <c r="B1333" s="22" t="s">
        <v>1063</v>
      </c>
      <c r="C1333" s="22" t="s">
        <v>1181</v>
      </c>
      <c r="D1333" s="22" t="s">
        <v>1063</v>
      </c>
      <c r="E1333" s="22" t="s">
        <v>1063</v>
      </c>
      <c r="F1333" s="22" t="s">
        <v>19</v>
      </c>
      <c r="G1333" s="23" t="n">
        <v>1</v>
      </c>
      <c r="H1333" s="24" t="n">
        <v>1</v>
      </c>
      <c r="I1333" s="24" t="n">
        <v>40.15</v>
      </c>
      <c r="J1333" s="24" t="n">
        <v>0</v>
      </c>
      <c r="K1333" s="24" t="n">
        <v>0</v>
      </c>
      <c r="L1333" s="24" t="n">
        <v>0</v>
      </c>
      <c r="M1333" s="6" t="s">
        <f>=I1333+J1333+K1333+L1333</f>
      </c>
      <c r="N1333" s="24"/>
      <c r="O1333" s="22"/>
    </row>
    <row collapsed="false" customFormat="false" customHeight="false" hidden="false" ht="12.1" outlineLevel="0" r="1334">
      <c r="A1334" s="21" t="n">
        <v>46051.476064815</v>
      </c>
      <c r="B1334" s="22" t="s">
        <v>1063</v>
      </c>
      <c r="C1334" s="22" t="s">
        <v>1081</v>
      </c>
      <c r="D1334" s="22" t="s">
        <v>1063</v>
      </c>
      <c r="E1334" s="22" t="s">
        <v>1063</v>
      </c>
      <c r="F1334" s="22" t="s">
        <v>19</v>
      </c>
      <c r="G1334" s="23" t="n">
        <v>1</v>
      </c>
      <c r="H1334" s="24" t="n">
        <v>1</v>
      </c>
      <c r="I1334" s="24" t="n">
        <v>1034.28</v>
      </c>
      <c r="J1334" s="24" t="n">
        <v>0</v>
      </c>
      <c r="K1334" s="24" t="n">
        <v>0</v>
      </c>
      <c r="L1334" s="24" t="n">
        <v>0</v>
      </c>
      <c r="M1334" s="6" t="s">
        <f>=I1334+J1334+K1334+L1334</f>
      </c>
      <c r="N1334" s="24"/>
      <c r="O1334" s="22"/>
    </row>
    <row collapsed="false" customFormat="false" customHeight="false" hidden="false" ht="12.1" outlineLevel="0" r="1335">
      <c r="A1335" s="21" t="n">
        <v>46051.479826389</v>
      </c>
      <c r="B1335" s="22" t="s">
        <v>1063</v>
      </c>
      <c r="C1335" s="22" t="s">
        <v>1237</v>
      </c>
      <c r="D1335" s="22" t="s">
        <v>1063</v>
      </c>
      <c r="E1335" s="22" t="s">
        <v>1063</v>
      </c>
      <c r="F1335" s="22" t="s">
        <v>19</v>
      </c>
      <c r="G1335" s="23" t="n">
        <v>1</v>
      </c>
      <c r="H1335" s="24" t="n">
        <v>1</v>
      </c>
      <c r="I1335" s="24" t="n">
        <v>206.46</v>
      </c>
      <c r="J1335" s="24" t="n">
        <v>0</v>
      </c>
      <c r="K1335" s="24" t="n">
        <v>0</v>
      </c>
      <c r="L1335" s="24" t="n">
        <v>0</v>
      </c>
      <c r="M1335" s="6" t="s">
        <f>=I1335+J1335+K1335+L1335</f>
      </c>
      <c r="N1335" s="24"/>
      <c r="O1335" s="22"/>
    </row>
    <row collapsed="false" customFormat="false" customHeight="false" hidden="false" ht="12.1" outlineLevel="0" r="1336">
      <c r="A1336" s="21" t="n">
        <v>46054.561909722</v>
      </c>
      <c r="B1336" s="22" t="s">
        <v>1056</v>
      </c>
      <c r="C1336" s="22" t="s">
        <v>350</v>
      </c>
      <c r="D1336" s="22" t="s">
        <v>1056</v>
      </c>
      <c r="E1336" s="22" t="s">
        <v>1056</v>
      </c>
      <c r="F1336" s="22" t="s">
        <v>19</v>
      </c>
      <c r="G1336" s="23" t="n">
        <v>1</v>
      </c>
      <c r="H1336" s="24" t="n">
        <v>1</v>
      </c>
      <c r="I1336" s="24" t="n">
        <v>5000</v>
      </c>
      <c r="J1336" s="24" t="n">
        <v>0</v>
      </c>
      <c r="K1336" s="24" t="n">
        <v>0</v>
      </c>
      <c r="L1336" s="24" t="n">
        <v>0</v>
      </c>
      <c r="M1336" s="6" t="s">
        <f>=I1336+J1336+K1336+L1336</f>
      </c>
      <c r="N1336" s="24"/>
      <c r="O1336" s="22"/>
    </row>
    <row collapsed="false" customFormat="false" customHeight="false" hidden="false" ht="12.1" outlineLevel="0" r="1337">
      <c r="A1337" s="21" t="n">
        <v>46054.562094907</v>
      </c>
      <c r="B1337" s="22" t="s">
        <v>1056</v>
      </c>
      <c r="C1337" s="22" t="s">
        <v>350</v>
      </c>
      <c r="D1337" s="22" t="s">
        <v>1056</v>
      </c>
      <c r="E1337" s="22" t="s">
        <v>1056</v>
      </c>
      <c r="F1337" s="22" t="s">
        <v>19</v>
      </c>
      <c r="G1337" s="23" t="n">
        <v>1</v>
      </c>
      <c r="H1337" s="24" t="n">
        <v>1</v>
      </c>
      <c r="I1337" s="24" t="n">
        <v>7285</v>
      </c>
      <c r="J1337" s="24" t="n">
        <v>0</v>
      </c>
      <c r="K1337" s="24" t="n">
        <v>0</v>
      </c>
      <c r="L1337" s="24" t="n">
        <v>0</v>
      </c>
      <c r="M1337" s="6" t="s">
        <f>=I1337+J1337+K1337+L1337</f>
      </c>
      <c r="N1337" s="24"/>
      <c r="O1337" s="22"/>
    </row>
    <row collapsed="false" customFormat="false" customHeight="false" hidden="false" ht="12.1" outlineLevel="0" r="1338">
      <c r="A1338" s="21" t="n">
        <v>46055.457916667</v>
      </c>
      <c r="B1338" s="22" t="s">
        <v>1063</v>
      </c>
      <c r="C1338" s="22" t="s">
        <v>1258</v>
      </c>
      <c r="D1338" s="22" t="s">
        <v>1063</v>
      </c>
      <c r="E1338" s="22" t="s">
        <v>1063</v>
      </c>
      <c r="F1338" s="22" t="s">
        <v>19</v>
      </c>
      <c r="G1338" s="23" t="n">
        <v>1</v>
      </c>
      <c r="H1338" s="24" t="n">
        <v>1</v>
      </c>
      <c r="I1338" s="24" t="n">
        <v>23.86</v>
      </c>
      <c r="J1338" s="24" t="n">
        <v>0</v>
      </c>
      <c r="K1338" s="24" t="n">
        <v>0</v>
      </c>
      <c r="L1338" s="24" t="n">
        <v>0</v>
      </c>
      <c r="M1338" s="6" t="s">
        <f>=I1338+J1338+K1338+L1338</f>
      </c>
      <c r="N1338" s="24"/>
      <c r="O1338" s="22"/>
    </row>
    <row collapsed="false" customFormat="false" customHeight="false" hidden="false" ht="12.1" outlineLevel="0" r="1339">
      <c r="A1339" s="20" t="n">
        <v>46055.465625</v>
      </c>
      <c r="B1339" s="16" t="s">
        <v>184</v>
      </c>
      <c r="C1339" s="16" t="s">
        <v>1352</v>
      </c>
      <c r="D1339" s="16" t="s">
        <v>912</v>
      </c>
      <c r="E1339" s="16" t="s">
        <v>85</v>
      </c>
      <c r="F1339" s="16" t="s">
        <v>19</v>
      </c>
      <c r="G1339" s="7" t="n">
        <v>1</v>
      </c>
      <c r="H1339" s="6" t="n">
        <v>102.18</v>
      </c>
      <c r="I1339" s="6" t="n">
        <v>-1021.8</v>
      </c>
      <c r="J1339" s="6" t="n">
        <v>-4.1100000000001</v>
      </c>
      <c r="K1339" s="6" t="n">
        <v>-3.07</v>
      </c>
      <c r="L1339" s="6" t="n">
        <v>0</v>
      </c>
      <c r="M1339" s="6" t="s">
        <f>=I1339+J1339+K1339+L1339</f>
      </c>
      <c r="N1339" s="6"/>
      <c r="O1339" s="16"/>
    </row>
    <row collapsed="false" customFormat="false" customHeight="false" hidden="false" ht="12.1" outlineLevel="0" r="1340">
      <c r="A1340" s="20" t="n">
        <v>46055.465925926</v>
      </c>
      <c r="B1340" s="16" t="s">
        <v>193</v>
      </c>
      <c r="C1340" s="16" t="s">
        <v>1353</v>
      </c>
      <c r="D1340" s="16" t="s">
        <v>912</v>
      </c>
      <c r="E1340" s="16" t="s">
        <v>85</v>
      </c>
      <c r="F1340" s="16" t="s">
        <v>19</v>
      </c>
      <c r="G1340" s="7" t="n">
        <v>1</v>
      </c>
      <c r="H1340" s="6" t="n">
        <v>100.78</v>
      </c>
      <c r="I1340" s="6" t="n">
        <v>-1007.8</v>
      </c>
      <c r="J1340" s="6" t="n">
        <v>-2.59</v>
      </c>
      <c r="K1340" s="6" t="n">
        <v>-3.02</v>
      </c>
      <c r="L1340" s="6" t="n">
        <v>0</v>
      </c>
      <c r="M1340" s="6" t="s">
        <f>=I1340+J1340+K1340+L1340</f>
      </c>
      <c r="N1340" s="6"/>
      <c r="O1340" s="16"/>
    </row>
    <row collapsed="false" customFormat="false" customHeight="false" hidden="false" ht="12.1" outlineLevel="0" r="1341">
      <c r="A1341" s="20" t="n">
        <v>46055.46619213</v>
      </c>
      <c r="B1341" s="16" t="s">
        <v>181</v>
      </c>
      <c r="C1341" s="16" t="s">
        <v>1354</v>
      </c>
      <c r="D1341" s="16" t="s">
        <v>912</v>
      </c>
      <c r="E1341" s="16" t="s">
        <v>85</v>
      </c>
      <c r="F1341" s="16" t="s">
        <v>19</v>
      </c>
      <c r="G1341" s="7" t="n">
        <v>1</v>
      </c>
      <c r="H1341" s="6" t="n">
        <v>102.01</v>
      </c>
      <c r="I1341" s="6" t="n">
        <v>-1020.1</v>
      </c>
      <c r="J1341" s="6" t="n">
        <v>-1.75</v>
      </c>
      <c r="K1341" s="6" t="n">
        <v>-3.06</v>
      </c>
      <c r="L1341" s="6" t="n">
        <v>0</v>
      </c>
      <c r="M1341" s="6" t="s">
        <f>=I1341+J1341+K1341+L1341</f>
      </c>
      <c r="N1341" s="6"/>
      <c r="O1341" s="16"/>
    </row>
    <row collapsed="false" customFormat="false" customHeight="false" hidden="false" ht="12.1" outlineLevel="0" r="1342">
      <c r="A1342" s="20" t="n">
        <v>46055.466481481</v>
      </c>
      <c r="B1342" s="16" t="s">
        <v>190</v>
      </c>
      <c r="C1342" s="16" t="s">
        <v>1355</v>
      </c>
      <c r="D1342" s="16" t="s">
        <v>912</v>
      </c>
      <c r="E1342" s="16" t="s">
        <v>85</v>
      </c>
      <c r="F1342" s="16" t="s">
        <v>19</v>
      </c>
      <c r="G1342" s="7" t="n">
        <v>1</v>
      </c>
      <c r="H1342" s="6" t="n">
        <v>102.99</v>
      </c>
      <c r="I1342" s="6" t="n">
        <v>-1029.9</v>
      </c>
      <c r="J1342" s="6" t="n">
        <v>-5.9699999999998</v>
      </c>
      <c r="K1342" s="6" t="n">
        <v>-3.09</v>
      </c>
      <c r="L1342" s="6" t="n">
        <v>0</v>
      </c>
      <c r="M1342" s="6" t="s">
        <f>=I1342+J1342+K1342+L1342</f>
      </c>
      <c r="N1342" s="6"/>
      <c r="O1342" s="16"/>
    </row>
    <row collapsed="false" customFormat="false" customHeight="false" hidden="false" ht="12.1" outlineLevel="0" r="1343">
      <c r="A1343" s="20" t="n">
        <v>46055.466736111</v>
      </c>
      <c r="B1343" s="16" t="s">
        <v>187</v>
      </c>
      <c r="C1343" s="16" t="s">
        <v>1356</v>
      </c>
      <c r="D1343" s="16" t="s">
        <v>912</v>
      </c>
      <c r="E1343" s="16" t="s">
        <v>85</v>
      </c>
      <c r="F1343" s="16" t="s">
        <v>19</v>
      </c>
      <c r="G1343" s="7" t="n">
        <v>1</v>
      </c>
      <c r="H1343" s="6" t="n">
        <v>101.7</v>
      </c>
      <c r="I1343" s="6" t="n">
        <v>-1017</v>
      </c>
      <c r="J1343" s="6" t="n">
        <v>-32.86</v>
      </c>
      <c r="K1343" s="6" t="n">
        <v>-3.05</v>
      </c>
      <c r="L1343" s="6" t="n">
        <v>0</v>
      </c>
      <c r="M1343" s="6" t="s">
        <f>=I1343+J1343+K1343+L1343</f>
      </c>
      <c r="N1343" s="6"/>
      <c r="O1343" s="16"/>
    </row>
    <row collapsed="false" customFormat="false" customHeight="false" hidden="false" ht="12.1" outlineLevel="0" r="1344">
      <c r="A1344" s="20" t="n">
        <v>46055.467002315</v>
      </c>
      <c r="B1344" s="16" t="s">
        <v>243</v>
      </c>
      <c r="C1344" s="16" t="s">
        <v>1357</v>
      </c>
      <c r="D1344" s="16" t="s">
        <v>912</v>
      </c>
      <c r="E1344" s="16" t="s">
        <v>85</v>
      </c>
      <c r="F1344" s="16" t="s">
        <v>19</v>
      </c>
      <c r="G1344" s="7" t="n">
        <v>1</v>
      </c>
      <c r="H1344" s="6" t="n">
        <v>105.18</v>
      </c>
      <c r="I1344" s="6" t="n">
        <v>-1051.8</v>
      </c>
      <c r="J1344" s="6" t="n">
        <v>-5.4200000000001</v>
      </c>
      <c r="K1344" s="6" t="n">
        <v>-3.16</v>
      </c>
      <c r="L1344" s="6" t="n">
        <v>0</v>
      </c>
      <c r="M1344" s="6" t="s">
        <f>=I1344+J1344+K1344+L1344</f>
      </c>
      <c r="N1344" s="6"/>
      <c r="O1344" s="16"/>
    </row>
    <row collapsed="false" customFormat="false" customHeight="false" hidden="false" ht="12.1" outlineLevel="0" r="1345">
      <c r="A1345" s="20" t="n">
        <v>46055.467314815</v>
      </c>
      <c r="B1345" s="16" t="s">
        <v>151</v>
      </c>
      <c r="C1345" s="16" t="s">
        <v>1272</v>
      </c>
      <c r="D1345" s="16" t="s">
        <v>912</v>
      </c>
      <c r="E1345" s="16" t="s">
        <v>85</v>
      </c>
      <c r="F1345" s="16" t="s">
        <v>19</v>
      </c>
      <c r="G1345" s="7" t="n">
        <v>1</v>
      </c>
      <c r="H1345" s="6" t="n">
        <v>92.73</v>
      </c>
      <c r="I1345" s="6" t="n">
        <v>-927.3</v>
      </c>
      <c r="J1345" s="6" t="n">
        <v>-1.3200000000001</v>
      </c>
      <c r="K1345" s="6" t="n">
        <v>-2.78</v>
      </c>
      <c r="L1345" s="6" t="n">
        <v>0</v>
      </c>
      <c r="M1345" s="6" t="s">
        <f>=I1345+J1345+K1345+L1345</f>
      </c>
      <c r="N1345" s="6"/>
      <c r="O1345" s="16"/>
    </row>
    <row collapsed="false" customFormat="false" customHeight="false" hidden="false" ht="12.1" outlineLevel="0" r="1346">
      <c r="A1346" s="20" t="n">
        <v>46055.46755787</v>
      </c>
      <c r="B1346" s="16" t="s">
        <v>249</v>
      </c>
      <c r="C1346" s="16" t="s">
        <v>1358</v>
      </c>
      <c r="D1346" s="16" t="s">
        <v>912</v>
      </c>
      <c r="E1346" s="16" t="s">
        <v>85</v>
      </c>
      <c r="F1346" s="16" t="s">
        <v>19</v>
      </c>
      <c r="G1346" s="7" t="n">
        <v>1</v>
      </c>
      <c r="H1346" s="6" t="n">
        <v>98</v>
      </c>
      <c r="I1346" s="6" t="n">
        <v>-980</v>
      </c>
      <c r="J1346" s="6" t="n">
        <v>-3.8099999999999</v>
      </c>
      <c r="K1346" s="6" t="n">
        <v>-2.94</v>
      </c>
      <c r="L1346" s="6" t="n">
        <v>0</v>
      </c>
      <c r="M1346" s="6" t="s">
        <f>=I1346+J1346+K1346+L1346</f>
      </c>
      <c r="N1346" s="6"/>
      <c r="O1346" s="16"/>
    </row>
    <row collapsed="false" customFormat="false" customHeight="false" hidden="false" ht="12.1" outlineLevel="0" r="1347">
      <c r="A1347" s="20" t="n">
        <v>46055.467824074</v>
      </c>
      <c r="B1347" s="16" t="s">
        <v>254</v>
      </c>
      <c r="C1347" s="16" t="s">
        <v>1359</v>
      </c>
      <c r="D1347" s="16" t="s">
        <v>912</v>
      </c>
      <c r="E1347" s="16" t="s">
        <v>85</v>
      </c>
      <c r="F1347" s="16" t="s">
        <v>19</v>
      </c>
      <c r="G1347" s="7" t="n">
        <v>1</v>
      </c>
      <c r="H1347" s="6" t="n">
        <v>97.7</v>
      </c>
      <c r="I1347" s="6" t="n">
        <v>-977</v>
      </c>
      <c r="J1347" s="6" t="n">
        <v>-8.73</v>
      </c>
      <c r="K1347" s="6" t="n">
        <v>-2.93</v>
      </c>
      <c r="L1347" s="6" t="n">
        <v>0</v>
      </c>
      <c r="M1347" s="6" t="s">
        <f>=I1347+J1347+K1347+L1347</f>
      </c>
      <c r="N1347" s="6"/>
      <c r="O1347" s="16"/>
    </row>
    <row collapsed="false" customFormat="false" customHeight="false" hidden="false" ht="12.1" outlineLevel="0" r="1348">
      <c r="A1348" s="20" t="n">
        <v>46055.4684375</v>
      </c>
      <c r="B1348" s="16" t="s">
        <v>263</v>
      </c>
      <c r="C1348" s="16" t="s">
        <v>1360</v>
      </c>
      <c r="D1348" s="16" t="s">
        <v>912</v>
      </c>
      <c r="E1348" s="16" t="s">
        <v>85</v>
      </c>
      <c r="F1348" s="16" t="s">
        <v>19</v>
      </c>
      <c r="G1348" s="7" t="n">
        <v>1</v>
      </c>
      <c r="H1348" s="6" t="n">
        <v>101.36</v>
      </c>
      <c r="I1348" s="6" t="n">
        <v>-1013.6</v>
      </c>
      <c r="J1348" s="6" t="n">
        <v>-5.0599999999999</v>
      </c>
      <c r="K1348" s="6" t="n">
        <v>-3.04</v>
      </c>
      <c r="L1348" s="6" t="n">
        <v>0</v>
      </c>
      <c r="M1348" s="6" t="s">
        <f>=I1348+J1348+K1348+L1348</f>
      </c>
      <c r="N1348" s="6"/>
      <c r="O1348" s="16"/>
    </row>
    <row collapsed="false" customFormat="false" customHeight="false" hidden="false" ht="12.1" outlineLevel="0" r="1349">
      <c r="A1349" s="20" t="n">
        <v>46055.476689815</v>
      </c>
      <c r="B1349" s="16" t="s">
        <v>184</v>
      </c>
      <c r="C1349" s="16" t="s">
        <v>1352</v>
      </c>
      <c r="D1349" s="16" t="s">
        <v>912</v>
      </c>
      <c r="E1349" s="16" t="s">
        <v>85</v>
      </c>
      <c r="F1349" s="16" t="s">
        <v>19</v>
      </c>
      <c r="G1349" s="7" t="n">
        <v>1</v>
      </c>
      <c r="H1349" s="6" t="n">
        <v>102.18</v>
      </c>
      <c r="I1349" s="6" t="n">
        <v>-1021.8</v>
      </c>
      <c r="J1349" s="6" t="n">
        <v>-4.1100000000001</v>
      </c>
      <c r="K1349" s="6" t="n">
        <v>-3.07</v>
      </c>
      <c r="L1349" s="6" t="n">
        <v>0</v>
      </c>
      <c r="M1349" s="6" t="s">
        <f>=I1349+J1349+K1349+L1349</f>
      </c>
      <c r="N1349" s="6"/>
      <c r="O1349" s="16"/>
    </row>
    <row collapsed="false" customFormat="false" customHeight="false" hidden="false" ht="12.1" outlineLevel="0" r="1350">
      <c r="A1350" s="20" t="n">
        <v>46055.476805556</v>
      </c>
      <c r="B1350" s="16" t="s">
        <v>193</v>
      </c>
      <c r="C1350" s="16" t="s">
        <v>1353</v>
      </c>
      <c r="D1350" s="16" t="s">
        <v>912</v>
      </c>
      <c r="E1350" s="16" t="s">
        <v>85</v>
      </c>
      <c r="F1350" s="16" t="s">
        <v>19</v>
      </c>
      <c r="G1350" s="7" t="n">
        <v>1</v>
      </c>
      <c r="H1350" s="6" t="n">
        <v>100.78</v>
      </c>
      <c r="I1350" s="6" t="n">
        <v>-1007.8</v>
      </c>
      <c r="J1350" s="6" t="n">
        <v>-2.59</v>
      </c>
      <c r="K1350" s="6" t="n">
        <v>-3.02</v>
      </c>
      <c r="L1350" s="6" t="n">
        <v>0</v>
      </c>
      <c r="M1350" s="6" t="s">
        <f>=I1350+J1350+K1350+L1350</f>
      </c>
      <c r="N1350" s="6"/>
      <c r="O1350" s="16"/>
    </row>
    <row collapsed="false" customFormat="false" customHeight="false" hidden="false" ht="12.1" outlineLevel="0" r="1351">
      <c r="A1351" s="20" t="n">
        <v>46055.476979167</v>
      </c>
      <c r="B1351" s="16" t="s">
        <v>181</v>
      </c>
      <c r="C1351" s="16" t="s">
        <v>1354</v>
      </c>
      <c r="D1351" s="16" t="s">
        <v>912</v>
      </c>
      <c r="E1351" s="16" t="s">
        <v>85</v>
      </c>
      <c r="F1351" s="16" t="s">
        <v>19</v>
      </c>
      <c r="G1351" s="7" t="n">
        <v>1</v>
      </c>
      <c r="H1351" s="6" t="n">
        <v>102.07</v>
      </c>
      <c r="I1351" s="6" t="n">
        <v>-1020.7</v>
      </c>
      <c r="J1351" s="6" t="n">
        <v>-1.75</v>
      </c>
      <c r="K1351" s="6" t="n">
        <v>-3.06</v>
      </c>
      <c r="L1351" s="6" t="n">
        <v>0</v>
      </c>
      <c r="M1351" s="6" t="s">
        <f>=I1351+J1351+K1351+L1351</f>
      </c>
      <c r="N1351" s="6"/>
      <c r="O1351" s="16"/>
    </row>
    <row collapsed="false" customFormat="false" customHeight="false" hidden="false" ht="12.1" outlineLevel="0" r="1352">
      <c r="A1352" s="20" t="n">
        <v>46055.477094907</v>
      </c>
      <c r="B1352" s="16" t="s">
        <v>190</v>
      </c>
      <c r="C1352" s="16" t="s">
        <v>1355</v>
      </c>
      <c r="D1352" s="16" t="s">
        <v>912</v>
      </c>
      <c r="E1352" s="16" t="s">
        <v>85</v>
      </c>
      <c r="F1352" s="16" t="s">
        <v>19</v>
      </c>
      <c r="G1352" s="7" t="n">
        <v>1</v>
      </c>
      <c r="H1352" s="6" t="n">
        <v>102.95</v>
      </c>
      <c r="I1352" s="6" t="n">
        <v>-1029.5</v>
      </c>
      <c r="J1352" s="6" t="n">
        <v>-5.97</v>
      </c>
      <c r="K1352" s="6" t="n">
        <v>-3.09</v>
      </c>
      <c r="L1352" s="6" t="n">
        <v>0</v>
      </c>
      <c r="M1352" s="6" t="s">
        <f>=I1352+J1352+K1352+L1352</f>
      </c>
      <c r="N1352" s="6"/>
      <c r="O1352" s="16"/>
    </row>
    <row collapsed="false" customFormat="false" customHeight="false" hidden="false" ht="12.1" outlineLevel="0" r="1353">
      <c r="A1353" s="20" t="n">
        <v>46055.477349537</v>
      </c>
      <c r="B1353" s="16" t="s">
        <v>187</v>
      </c>
      <c r="C1353" s="16" t="s">
        <v>1356</v>
      </c>
      <c r="D1353" s="16" t="s">
        <v>912</v>
      </c>
      <c r="E1353" s="16" t="s">
        <v>85</v>
      </c>
      <c r="F1353" s="16" t="s">
        <v>19</v>
      </c>
      <c r="G1353" s="7" t="n">
        <v>1</v>
      </c>
      <c r="H1353" s="6" t="n">
        <v>101.7</v>
      </c>
      <c r="I1353" s="6" t="n">
        <v>-1017</v>
      </c>
      <c r="J1353" s="6" t="n">
        <v>-32.86</v>
      </c>
      <c r="K1353" s="6" t="n">
        <v>-3.05</v>
      </c>
      <c r="L1353" s="6" t="n">
        <v>0</v>
      </c>
      <c r="M1353" s="6" t="s">
        <f>=I1353+J1353+K1353+L1353</f>
      </c>
      <c r="N1353" s="6"/>
      <c r="O1353" s="16"/>
    </row>
    <row collapsed="false" customFormat="false" customHeight="false" hidden="false" ht="12.1" outlineLevel="0" r="1354">
      <c r="A1354" s="21" t="n">
        <v>46055.537407407</v>
      </c>
      <c r="B1354" s="22" t="s">
        <v>1063</v>
      </c>
      <c r="C1354" s="22" t="s">
        <v>1283</v>
      </c>
      <c r="D1354" s="22" t="s">
        <v>1063</v>
      </c>
      <c r="E1354" s="22" t="s">
        <v>1063</v>
      </c>
      <c r="F1354" s="22" t="s">
        <v>19</v>
      </c>
      <c r="G1354" s="23" t="n">
        <v>1</v>
      </c>
      <c r="H1354" s="24" t="n">
        <v>1</v>
      </c>
      <c r="I1354" s="24" t="n">
        <v>239.36</v>
      </c>
      <c r="J1354" s="24" t="n">
        <v>0</v>
      </c>
      <c r="K1354" s="24" t="n">
        <v>0</v>
      </c>
      <c r="L1354" s="24" t="n">
        <v>0</v>
      </c>
      <c r="M1354" s="6" t="s">
        <f>=I1354+J1354+K1354+L1354</f>
      </c>
      <c r="N1354" s="24"/>
      <c r="O1354" s="22"/>
    </row>
    <row collapsed="false" customFormat="false" customHeight="false" hidden="false" ht="12.1" outlineLevel="0" r="1355">
      <c r="A1355" s="21" t="n">
        <v>46056.463391204</v>
      </c>
      <c r="B1355" s="22" t="s">
        <v>1063</v>
      </c>
      <c r="C1355" s="22" t="s">
        <v>1119</v>
      </c>
      <c r="D1355" s="22" t="s">
        <v>1063</v>
      </c>
      <c r="E1355" s="22" t="s">
        <v>1063</v>
      </c>
      <c r="F1355" s="22" t="s">
        <v>19</v>
      </c>
      <c r="G1355" s="23" t="n">
        <v>1</v>
      </c>
      <c r="H1355" s="24" t="n">
        <v>1</v>
      </c>
      <c r="I1355" s="24" t="n">
        <v>53.1</v>
      </c>
      <c r="J1355" s="24" t="n">
        <v>0</v>
      </c>
      <c r="K1355" s="24" t="n">
        <v>0</v>
      </c>
      <c r="L1355" s="24" t="n">
        <v>0</v>
      </c>
      <c r="M1355" s="6" t="s">
        <f>=I1355+J1355+K1355+L1355</f>
      </c>
      <c r="N1355" s="24"/>
      <c r="O1355" s="22"/>
    </row>
    <row collapsed="false" customFormat="false" customHeight="false" hidden="false" ht="12.1" outlineLevel="0" r="1356">
      <c r="A1356" s="21" t="n">
        <v>46056.470185185</v>
      </c>
      <c r="B1356" s="22" t="s">
        <v>1063</v>
      </c>
      <c r="C1356" s="22" t="s">
        <v>1318</v>
      </c>
      <c r="D1356" s="22" t="s">
        <v>1063</v>
      </c>
      <c r="E1356" s="22" t="s">
        <v>1063</v>
      </c>
      <c r="F1356" s="22" t="s">
        <v>19</v>
      </c>
      <c r="G1356" s="23" t="n">
        <v>1</v>
      </c>
      <c r="H1356" s="24" t="n">
        <v>1</v>
      </c>
      <c r="I1356" s="24" t="n">
        <v>19.11</v>
      </c>
      <c r="J1356" s="24" t="n">
        <v>0</v>
      </c>
      <c r="K1356" s="24" t="n">
        <v>0</v>
      </c>
      <c r="L1356" s="24" t="n">
        <v>0</v>
      </c>
      <c r="M1356" s="6" t="s">
        <f>=I1356+J1356+K1356+L1356</f>
      </c>
      <c r="N1356" s="24"/>
      <c r="O1356" s="22"/>
    </row>
    <row collapsed="false" customFormat="false" customHeight="false" hidden="false" ht="12.1" outlineLevel="0" r="1357">
      <c r="A1357" s="21" t="n">
        <v>46056.493287037</v>
      </c>
      <c r="B1357" s="22" t="s">
        <v>1063</v>
      </c>
      <c r="C1357" s="22" t="s">
        <v>1207</v>
      </c>
      <c r="D1357" s="22" t="s">
        <v>1063</v>
      </c>
      <c r="E1357" s="22" t="s">
        <v>1063</v>
      </c>
      <c r="F1357" s="22" t="s">
        <v>19</v>
      </c>
      <c r="G1357" s="23" t="n">
        <v>1</v>
      </c>
      <c r="H1357" s="24" t="n">
        <v>1</v>
      </c>
      <c r="I1357" s="24" t="n">
        <v>14.78</v>
      </c>
      <c r="J1357" s="24" t="n">
        <v>0</v>
      </c>
      <c r="K1357" s="24" t="n">
        <v>0</v>
      </c>
      <c r="L1357" s="24" t="n">
        <v>0</v>
      </c>
      <c r="M1357" s="6" t="s">
        <f>=I1357+J1357+K1357+L1357</f>
      </c>
      <c r="N1357" s="24"/>
      <c r="O1357" s="22"/>
    </row>
    <row collapsed="false" customFormat="false" customHeight="false" hidden="false" ht="12.1" outlineLevel="0" r="1358">
      <c r="A1358" s="21" t="n">
        <v>46056.49712963</v>
      </c>
      <c r="B1358" s="22" t="s">
        <v>1063</v>
      </c>
      <c r="C1358" s="22" t="s">
        <v>1329</v>
      </c>
      <c r="D1358" s="22" t="s">
        <v>1063</v>
      </c>
      <c r="E1358" s="22" t="s">
        <v>1063</v>
      </c>
      <c r="F1358" s="22" t="s">
        <v>19</v>
      </c>
      <c r="G1358" s="23" t="n">
        <v>1</v>
      </c>
      <c r="H1358" s="24" t="n">
        <v>1</v>
      </c>
      <c r="I1358" s="24" t="n">
        <v>3.28</v>
      </c>
      <c r="J1358" s="24" t="n">
        <v>0</v>
      </c>
      <c r="K1358" s="24" t="n">
        <v>0</v>
      </c>
      <c r="L1358" s="24" t="n">
        <v>0</v>
      </c>
      <c r="M1358" s="6" t="s">
        <f>=I1358+J1358+K1358+L1358</f>
      </c>
      <c r="N1358" s="24"/>
      <c r="O1358" s="22"/>
    </row>
    <row collapsed="false" customFormat="false" customHeight="false" hidden="false" ht="12.1" outlineLevel="0" r="1359">
      <c r="A1359" s="21" t="n">
        <v>46058.465497685</v>
      </c>
      <c r="B1359" s="22" t="s">
        <v>1063</v>
      </c>
      <c r="C1359" s="22" t="s">
        <v>1238</v>
      </c>
      <c r="D1359" s="22" t="s">
        <v>1063</v>
      </c>
      <c r="E1359" s="22" t="s">
        <v>1063</v>
      </c>
      <c r="F1359" s="22" t="s">
        <v>19</v>
      </c>
      <c r="G1359" s="23" t="n">
        <v>1</v>
      </c>
      <c r="H1359" s="24" t="n">
        <v>1</v>
      </c>
      <c r="I1359" s="24" t="n">
        <v>42.12</v>
      </c>
      <c r="J1359" s="24" t="n">
        <v>0</v>
      </c>
      <c r="K1359" s="24" t="n">
        <v>0</v>
      </c>
      <c r="L1359" s="24" t="n">
        <v>0</v>
      </c>
      <c r="M1359" s="6" t="s">
        <f>=I1359+J1359+K1359+L1359</f>
      </c>
      <c r="N1359" s="24"/>
      <c r="O1359" s="22"/>
    </row>
    <row collapsed="false" customFormat="false" customHeight="false" hidden="false" ht="12.1" outlineLevel="0" r="1360">
      <c r="A1360" s="21" t="n">
        <v>46058.466458333</v>
      </c>
      <c r="B1360" s="22" t="s">
        <v>1063</v>
      </c>
      <c r="C1360" s="22" t="s">
        <v>1174</v>
      </c>
      <c r="D1360" s="22" t="s">
        <v>1063</v>
      </c>
      <c r="E1360" s="22" t="s">
        <v>1063</v>
      </c>
      <c r="F1360" s="22" t="s">
        <v>19</v>
      </c>
      <c r="G1360" s="23" t="n">
        <v>1</v>
      </c>
      <c r="H1360" s="24" t="n">
        <v>1</v>
      </c>
      <c r="I1360" s="24" t="n">
        <v>29.82</v>
      </c>
      <c r="J1360" s="24" t="n">
        <v>0</v>
      </c>
      <c r="K1360" s="24" t="n">
        <v>0</v>
      </c>
      <c r="L1360" s="24" t="n">
        <v>0</v>
      </c>
      <c r="M1360" s="6" t="s">
        <f>=I1360+J1360+K1360+L1360</f>
      </c>
      <c r="N1360" s="24"/>
      <c r="O1360" s="22"/>
    </row>
    <row collapsed="false" customFormat="false" customHeight="false" hidden="false" ht="12.1" outlineLevel="0" r="1361">
      <c r="A1361" s="21" t="n">
        <v>46064.397615741</v>
      </c>
      <c r="B1361" s="22" t="s">
        <v>1063</v>
      </c>
      <c r="C1361" s="22" t="s">
        <v>1361</v>
      </c>
      <c r="D1361" s="22" t="s">
        <v>1063</v>
      </c>
      <c r="E1361" s="22" t="s">
        <v>1063</v>
      </c>
      <c r="F1361" s="22" t="s">
        <v>19</v>
      </c>
      <c r="G1361" s="23" t="n">
        <v>1</v>
      </c>
      <c r="H1361" s="24" t="n">
        <v>1</v>
      </c>
      <c r="I1361" s="24" t="n">
        <v>11.38</v>
      </c>
      <c r="J1361" s="24" t="n">
        <v>0</v>
      </c>
      <c r="K1361" s="24" t="n">
        <v>0</v>
      </c>
      <c r="L1361" s="24" t="n">
        <v>0</v>
      </c>
      <c r="M1361" s="6" t="s">
        <f>=I1361+J1361+K1361+L1361</f>
      </c>
      <c r="N1361" s="24"/>
      <c r="O1361" s="22"/>
    </row>
    <row collapsed="false" customFormat="false" customHeight="false" hidden="false" ht="12.1" outlineLevel="0" r="1362">
      <c r="A1362" s="21" t="n">
        <v>46064.398263889</v>
      </c>
      <c r="B1362" s="22" t="s">
        <v>1063</v>
      </c>
      <c r="C1362" s="22" t="s">
        <v>1314</v>
      </c>
      <c r="D1362" s="22" t="s">
        <v>1063</v>
      </c>
      <c r="E1362" s="22" t="s">
        <v>1063</v>
      </c>
      <c r="F1362" s="22" t="s">
        <v>19</v>
      </c>
      <c r="G1362" s="23" t="n">
        <v>1</v>
      </c>
      <c r="H1362" s="24" t="n">
        <v>1</v>
      </c>
      <c r="I1362" s="24" t="n">
        <v>14.68</v>
      </c>
      <c r="J1362" s="24" t="n">
        <v>0</v>
      </c>
      <c r="K1362" s="24" t="n">
        <v>0</v>
      </c>
      <c r="L1362" s="24" t="n">
        <v>0</v>
      </c>
      <c r="M1362" s="6" t="s">
        <f>=I1362+J1362+K1362+L1362</f>
      </c>
      <c r="N1362" s="24"/>
      <c r="O1362" s="22"/>
    </row>
    <row collapsed="false" customFormat="false" customHeight="false" hidden="false" ht="12.1" outlineLevel="0" r="1363">
      <c r="A1363" s="21" t="n">
        <v>46065.480381944</v>
      </c>
      <c r="B1363" s="22" t="s">
        <v>1063</v>
      </c>
      <c r="C1363" s="22" t="s">
        <v>1120</v>
      </c>
      <c r="D1363" s="22" t="s">
        <v>1063</v>
      </c>
      <c r="E1363" s="22" t="s">
        <v>1063</v>
      </c>
      <c r="F1363" s="22" t="s">
        <v>19</v>
      </c>
      <c r="G1363" s="23" t="n">
        <v>1</v>
      </c>
      <c r="H1363" s="24" t="n">
        <v>1</v>
      </c>
      <c r="I1363" s="24" t="n">
        <v>663.1</v>
      </c>
      <c r="J1363" s="24" t="n">
        <v>0</v>
      </c>
      <c r="K1363" s="24" t="n">
        <v>0</v>
      </c>
      <c r="L1363" s="24" t="n">
        <v>0</v>
      </c>
      <c r="M1363" s="6" t="s">
        <f>=I1363+J1363+K1363+L1363</f>
      </c>
      <c r="N1363" s="24"/>
      <c r="O1363" s="22"/>
    </row>
    <row collapsed="false" customFormat="false" customHeight="false" hidden="false" ht="12.1" outlineLevel="0" r="1364">
      <c r="A1364" s="21" t="n">
        <v>46066.710162037</v>
      </c>
      <c r="B1364" s="22" t="s">
        <v>1073</v>
      </c>
      <c r="C1364" s="22" t="s">
        <v>1362</v>
      </c>
      <c r="D1364" s="22" t="s">
        <v>1073</v>
      </c>
      <c r="E1364" s="22" t="s">
        <v>1073</v>
      </c>
      <c r="F1364" s="22" t="s">
        <v>19</v>
      </c>
      <c r="G1364" s="23" t="n">
        <v>1</v>
      </c>
      <c r="H1364" s="24" t="n">
        <v>1</v>
      </c>
      <c r="I1364" s="24" t="n">
        <v>1000</v>
      </c>
      <c r="J1364" s="24" t="n">
        <v>0</v>
      </c>
      <c r="K1364" s="24" t="n">
        <v>0</v>
      </c>
      <c r="L1364" s="24" t="n">
        <v>0</v>
      </c>
      <c r="M1364" s="6" t="s">
        <f>=I1364+J1364+K1364+L1364</f>
      </c>
      <c r="N1364" s="24"/>
      <c r="O1364" s="22"/>
    </row>
    <row collapsed="false" customFormat="false" customHeight="false" hidden="false" ht="12.1" outlineLevel="0" r="1365">
      <c r="A1365" s="21" t="n">
        <v>46066.710706019</v>
      </c>
      <c r="B1365" s="22" t="s">
        <v>1063</v>
      </c>
      <c r="C1365" s="22" t="s">
        <v>1173</v>
      </c>
      <c r="D1365" s="22" t="s">
        <v>1063</v>
      </c>
      <c r="E1365" s="22" t="s">
        <v>1063</v>
      </c>
      <c r="F1365" s="22" t="s">
        <v>19</v>
      </c>
      <c r="G1365" s="23" t="n">
        <v>1</v>
      </c>
      <c r="H1365" s="24" t="n">
        <v>1</v>
      </c>
      <c r="I1365" s="24" t="n">
        <v>51.61</v>
      </c>
      <c r="J1365" s="24" t="n">
        <v>0</v>
      </c>
      <c r="K1365" s="24" t="n">
        <v>0</v>
      </c>
      <c r="L1365" s="24" t="n">
        <v>0</v>
      </c>
      <c r="M1365" s="6" t="s">
        <f>=I1365+J1365+K1365+L1365</f>
      </c>
      <c r="N1365" s="24"/>
      <c r="O1365" s="22"/>
    </row>
    <row collapsed="false" customFormat="false" customHeight="false" hidden="false" ht="12.1" outlineLevel="0" r="1366">
      <c r="A1366" s="21" t="n">
        <v>46069.562534722</v>
      </c>
      <c r="B1366" s="22" t="s">
        <v>1063</v>
      </c>
      <c r="C1366" s="22" t="s">
        <v>1286</v>
      </c>
      <c r="D1366" s="22" t="s">
        <v>1063</v>
      </c>
      <c r="E1366" s="22" t="s">
        <v>1063</v>
      </c>
      <c r="F1366" s="22" t="s">
        <v>19</v>
      </c>
      <c r="G1366" s="23" t="n">
        <v>1</v>
      </c>
      <c r="H1366" s="24" t="n">
        <v>1</v>
      </c>
      <c r="I1366" s="24" t="n">
        <v>207.44</v>
      </c>
      <c r="J1366" s="24" t="n">
        <v>0</v>
      </c>
      <c r="K1366" s="24" t="n">
        <v>0</v>
      </c>
      <c r="L1366" s="24" t="n">
        <v>0</v>
      </c>
      <c r="M1366" s="6" t="s">
        <f>=I1366+J1366+K1366+L1366</f>
      </c>
      <c r="N1366" s="24"/>
      <c r="O1366" s="22"/>
    </row>
    <row collapsed="false" customFormat="false" customHeight="false" hidden="false" ht="12.1" outlineLevel="0" r="1367">
      <c r="A1367" s="21" t="n">
        <v>46070.556168981</v>
      </c>
      <c r="B1367" s="22" t="s">
        <v>1063</v>
      </c>
      <c r="C1367" s="22" t="s">
        <v>1322</v>
      </c>
      <c r="D1367" s="22" t="s">
        <v>1063</v>
      </c>
      <c r="E1367" s="22" t="s">
        <v>1063</v>
      </c>
      <c r="F1367" s="22" t="s">
        <v>19</v>
      </c>
      <c r="G1367" s="23" t="n">
        <v>1</v>
      </c>
      <c r="H1367" s="24" t="n">
        <v>1</v>
      </c>
      <c r="I1367" s="24" t="n">
        <v>20.96</v>
      </c>
      <c r="J1367" s="24" t="n">
        <v>0</v>
      </c>
      <c r="K1367" s="24" t="n">
        <v>0</v>
      </c>
      <c r="L1367" s="24" t="n">
        <v>0</v>
      </c>
      <c r="M1367" s="6" t="s">
        <f>=I1367+J1367+K1367+L1367</f>
      </c>
      <c r="N1367" s="24"/>
      <c r="O1367" s="22"/>
    </row>
    <row collapsed="false" customFormat="false" customHeight="false" hidden="false" ht="12.1" outlineLevel="0" r="1368">
      <c r="A1368" s="21" t="n">
        <v>46072.358078704</v>
      </c>
      <c r="B1368" s="22" t="s">
        <v>1063</v>
      </c>
      <c r="C1368" s="22" t="s">
        <v>1251</v>
      </c>
      <c r="D1368" s="22" t="s">
        <v>1063</v>
      </c>
      <c r="E1368" s="22" t="s">
        <v>1063</v>
      </c>
      <c r="F1368" s="22" t="s">
        <v>19</v>
      </c>
      <c r="G1368" s="23" t="n">
        <v>1</v>
      </c>
      <c r="H1368" s="24" t="n">
        <v>1</v>
      </c>
      <c r="I1368" s="24" t="n">
        <v>11.18</v>
      </c>
      <c r="J1368" s="24" t="n">
        <v>0</v>
      </c>
      <c r="K1368" s="24" t="n">
        <v>0</v>
      </c>
      <c r="L1368" s="24" t="n">
        <v>0</v>
      </c>
      <c r="M1368" s="6" t="s">
        <f>=I1368+J1368+K1368+L1368</f>
      </c>
      <c r="N1368" s="24"/>
      <c r="O1368" s="22"/>
    </row>
    <row collapsed="false" customFormat="false" customHeight="false" hidden="false" ht="12.1" outlineLevel="0" r="1369">
      <c r="A1369" s="21" t="n">
        <v>46072.727233796</v>
      </c>
      <c r="B1369" s="22" t="s">
        <v>1063</v>
      </c>
      <c r="C1369" s="22" t="s">
        <v>1303</v>
      </c>
      <c r="D1369" s="22" t="s">
        <v>1063</v>
      </c>
      <c r="E1369" s="22" t="s">
        <v>1063</v>
      </c>
      <c r="F1369" s="22" t="s">
        <v>19</v>
      </c>
      <c r="G1369" s="23" t="n">
        <v>1</v>
      </c>
      <c r="H1369" s="24" t="n">
        <v>1</v>
      </c>
      <c r="I1369" s="24" t="n">
        <v>14.48</v>
      </c>
      <c r="J1369" s="24" t="n">
        <v>0</v>
      </c>
      <c r="K1369" s="24" t="n">
        <v>0</v>
      </c>
      <c r="L1369" s="24" t="n">
        <v>0</v>
      </c>
      <c r="M1369" s="6" t="s">
        <f>=I1369+J1369+K1369+L1369</f>
      </c>
      <c r="N1369" s="24"/>
      <c r="O1369" s="22"/>
    </row>
    <row collapsed="false" customFormat="false" customHeight="false" hidden="false" ht="12.1" outlineLevel="0" r="1370">
      <c r="A1370" s="21" t="n">
        <v>46073.424212963</v>
      </c>
      <c r="B1370" s="22" t="s">
        <v>1063</v>
      </c>
      <c r="C1370" s="22" t="s">
        <v>1235</v>
      </c>
      <c r="D1370" s="22" t="s">
        <v>1063</v>
      </c>
      <c r="E1370" s="22" t="s">
        <v>1063</v>
      </c>
      <c r="F1370" s="22" t="s">
        <v>19</v>
      </c>
      <c r="G1370" s="23" t="n">
        <v>1</v>
      </c>
      <c r="H1370" s="24" t="n">
        <v>1</v>
      </c>
      <c r="I1370" s="24" t="n">
        <v>28.1</v>
      </c>
      <c r="J1370" s="24" t="n">
        <v>0</v>
      </c>
      <c r="K1370" s="24" t="n">
        <v>0</v>
      </c>
      <c r="L1370" s="24" t="n">
        <v>0</v>
      </c>
      <c r="M1370" s="6" t="s">
        <f>=I1370+J1370+K1370+L1370</f>
      </c>
      <c r="N1370" s="24"/>
      <c r="O1370" s="22"/>
    </row>
    <row collapsed="false" customFormat="false" customHeight="false" hidden="false" ht="12.1" outlineLevel="0" r="1371">
      <c r="A1371" s="21" t="n">
        <v>46073.428715278</v>
      </c>
      <c r="B1371" s="22" t="s">
        <v>1063</v>
      </c>
      <c r="C1371" s="22" t="s">
        <v>1142</v>
      </c>
      <c r="D1371" s="22" t="s">
        <v>1063</v>
      </c>
      <c r="E1371" s="22" t="s">
        <v>1063</v>
      </c>
      <c r="F1371" s="22" t="s">
        <v>19</v>
      </c>
      <c r="G1371" s="23" t="n">
        <v>1</v>
      </c>
      <c r="H1371" s="24" t="n">
        <v>1</v>
      </c>
      <c r="I1371" s="24" t="n">
        <v>6.5</v>
      </c>
      <c r="J1371" s="24" t="n">
        <v>0</v>
      </c>
      <c r="K1371" s="24" t="n">
        <v>0</v>
      </c>
      <c r="L1371" s="24" t="n">
        <v>0</v>
      </c>
      <c r="M1371" s="6" t="s">
        <f>=I1371+J1371+K1371+L1371</f>
      </c>
      <c r="N1371" s="24"/>
      <c r="O1371" s="22"/>
    </row>
    <row collapsed="false" customFormat="false" customHeight="false" hidden="false" ht="12.1" outlineLevel="0" r="1372">
      <c r="A1372" s="21" t="n">
        <v>46073.429201389</v>
      </c>
      <c r="B1372" s="22" t="s">
        <v>1073</v>
      </c>
      <c r="C1372" s="22" t="s">
        <v>1198</v>
      </c>
      <c r="D1372" s="22" t="s">
        <v>1073</v>
      </c>
      <c r="E1372" s="22" t="s">
        <v>1073</v>
      </c>
      <c r="F1372" s="22" t="s">
        <v>19</v>
      </c>
      <c r="G1372" s="23" t="n">
        <v>1</v>
      </c>
      <c r="H1372" s="24" t="n">
        <v>1</v>
      </c>
      <c r="I1372" s="24" t="n">
        <v>125</v>
      </c>
      <c r="J1372" s="24" t="n">
        <v>0</v>
      </c>
      <c r="K1372" s="24" t="n">
        <v>0</v>
      </c>
      <c r="L1372" s="24" t="n">
        <v>0</v>
      </c>
      <c r="M1372" s="6" t="s">
        <f>=I1372+J1372+K1372+L1372</f>
      </c>
      <c r="N1372" s="24"/>
      <c r="O1372" s="22"/>
    </row>
    <row collapsed="false" customFormat="false" customHeight="false" hidden="false" ht="12.1" outlineLevel="0" r="1373">
      <c r="A1373" s="21" t="n">
        <v>46073.519398148</v>
      </c>
      <c r="B1373" s="22" t="s">
        <v>1063</v>
      </c>
      <c r="C1373" s="22" t="s">
        <v>1363</v>
      </c>
      <c r="D1373" s="22" t="s">
        <v>1063</v>
      </c>
      <c r="E1373" s="22" t="s">
        <v>1063</v>
      </c>
      <c r="F1373" s="22" t="s">
        <v>19</v>
      </c>
      <c r="G1373" s="23" t="n">
        <v>1</v>
      </c>
      <c r="H1373" s="24" t="n">
        <v>1</v>
      </c>
      <c r="I1373" s="24" t="n">
        <v>79.74</v>
      </c>
      <c r="J1373" s="24" t="n">
        <v>0</v>
      </c>
      <c r="K1373" s="24" t="n">
        <v>0</v>
      </c>
      <c r="L1373" s="24" t="n">
        <v>0</v>
      </c>
      <c r="M1373" s="6" t="s">
        <f>=I1373+J1373+K1373+L1373</f>
      </c>
      <c r="N1373" s="24"/>
      <c r="O1373" s="22"/>
    </row>
    <row collapsed="false" customFormat="false" customHeight="false" hidden="false" ht="12.1" outlineLevel="0" r="1374">
      <c r="A1374" s="29" t="n">
        <v>46078.317002315</v>
      </c>
      <c r="B1374" s="30" t="s">
        <v>1082</v>
      </c>
      <c r="C1374" s="30" t="s">
        <v>1082</v>
      </c>
      <c r="D1374" s="30" t="s">
        <v>1050</v>
      </c>
      <c r="E1374" s="30" t="s">
        <v>1084</v>
      </c>
      <c r="F1374" s="30" t="s">
        <v>41</v>
      </c>
      <c r="G1374" s="31" t="n">
        <v>3</v>
      </c>
      <c r="H1374" s="32" t="n">
        <v>1</v>
      </c>
      <c r="I1374" s="2"/>
      <c r="J1374" s="2"/>
      <c r="K1374" s="2"/>
      <c r="L1374" s="2"/>
      <c r="M1374" s="2"/>
      <c r="N1374" s="6" t="n">
        <v>3</v>
      </c>
      <c r="O1374" s="2"/>
    </row>
    <row collapsed="false" customFormat="false" customHeight="false" hidden="false" ht="12.1" outlineLevel="0" r="137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 t="s">
        <v>1364</v>
      </c>
      <c r="M1375" s="5" t="s">
        <f>=SUM(M2:M1374)</f>
      </c>
      <c r="N1375" s="5" t="s">
        <f>=SUM(N2:N1374)</f>
      </c>
      <c r="O1375" s="4"/>
    </row>
  </sheetData>
  <autoFilter ref="A1:O137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342</v>
      </c>
      <c r="B1" s="34" t="s">
        <v>1365</v>
      </c>
      <c r="C1" s="34" t="s">
        <v>0</v>
      </c>
      <c r="D1" s="34" t="s">
        <v>2</v>
      </c>
      <c r="E1" s="34" t="s">
        <v>1366</v>
      </c>
      <c r="F1" s="34" t="s">
        <v>3</v>
      </c>
      <c r="G1" s="34" t="s">
        <v>1367</v>
      </c>
      <c r="H1" s="34" t="s">
        <v>1368</v>
      </c>
      <c r="I1" s="34" t="s">
        <v>1369</v>
      </c>
      <c r="J1" s="34" t="s">
        <v>1370</v>
      </c>
      <c r="K1" s="34" t="s">
        <v>1371</v>
      </c>
      <c r="L1" s="34" t="s">
        <v>1372</v>
      </c>
      <c r="M1" s="34" t="s">
        <v>1373</v>
      </c>
      <c r="N1" s="34" t="s">
        <v>1374</v>
      </c>
    </row>
    <row collapsed="false" customFormat="false" customHeight="false" hidden="false" ht="12.1" outlineLevel="0" r="2">
      <c r="A2" s="33" t="n">
        <v>44843</v>
      </c>
      <c r="B2" s="16" t="s">
        <v>1375</v>
      </c>
      <c r="C2" s="16" t="s">
        <v>73</v>
      </c>
      <c r="D2" s="16" t="s">
        <v>74</v>
      </c>
      <c r="E2" s="7" t="n">
        <v>1</v>
      </c>
      <c r="F2" s="16" t="s">
        <v>19</v>
      </c>
      <c r="G2" s="6" t="n">
        <v>45</v>
      </c>
      <c r="H2" s="6" t="n">
        <v>906.4</v>
      </c>
      <c r="I2" s="6" t="n">
        <v>1031.08</v>
      </c>
      <c r="J2" s="6" t="n">
        <v>6</v>
      </c>
      <c r="K2" s="6" t="n">
        <v>45</v>
      </c>
      <c r="L2" s="6" t="n">
        <v>39</v>
      </c>
      <c r="M2" s="6" t="n">
        <v>3.78</v>
      </c>
      <c r="N2" s="6" t="n">
        <v>4.3</v>
      </c>
    </row>
    <row collapsed="false" customFormat="false" customHeight="false" hidden="false" ht="12.1" outlineLevel="0" r="3">
      <c r="A3" s="33" t="n">
        <v>44845</v>
      </c>
      <c r="B3" s="16" t="s">
        <v>1375</v>
      </c>
      <c r="C3" s="16" t="s">
        <v>33</v>
      </c>
      <c r="D3" s="16" t="s">
        <v>34</v>
      </c>
      <c r="E3" s="7" t="n">
        <v>10</v>
      </c>
      <c r="F3" s="16" t="s">
        <v>19</v>
      </c>
      <c r="G3" s="6" t="n">
        <v>51.03</v>
      </c>
      <c r="H3" s="6" t="n">
        <v>162.89</v>
      </c>
      <c r="I3" s="6" t="n">
        <v>197.65</v>
      </c>
      <c r="J3" s="6" t="n">
        <v>66</v>
      </c>
      <c r="K3" s="6" t="n">
        <v>510.3</v>
      </c>
      <c r="L3" s="6" t="n">
        <v>444.3</v>
      </c>
      <c r="M3" s="6" t="n">
        <v>22.48</v>
      </c>
      <c r="N3" s="6" t="n">
        <v>27.28</v>
      </c>
    </row>
    <row collapsed="false" customFormat="false" customHeight="false" hidden="false" ht="12.1" outlineLevel="0" r="4">
      <c r="A4" s="33" t="n">
        <v>44845</v>
      </c>
      <c r="B4" s="16" t="s">
        <v>1375</v>
      </c>
      <c r="C4" s="16" t="s">
        <v>39</v>
      </c>
      <c r="D4" s="16" t="s">
        <v>40</v>
      </c>
      <c r="E4" s="7" t="n">
        <v>1</v>
      </c>
      <c r="F4" s="16" t="s">
        <v>19</v>
      </c>
      <c r="G4" s="6" t="n">
        <v>32.71</v>
      </c>
      <c r="H4" s="6" t="n">
        <v>353</v>
      </c>
      <c r="I4" s="6" t="n">
        <v>394.48</v>
      </c>
      <c r="J4" s="6" t="n">
        <v>4</v>
      </c>
      <c r="K4" s="6" t="n">
        <v>32.71</v>
      </c>
      <c r="L4" s="6" t="n">
        <v>28.71</v>
      </c>
      <c r="M4" s="6" t="n">
        <v>7.28</v>
      </c>
      <c r="N4" s="6" t="n">
        <v>8.13</v>
      </c>
    </row>
    <row collapsed="false" customFormat="false" customHeight="false" hidden="false" ht="12.1" outlineLevel="0" r="5">
      <c r="A5" s="33" t="n">
        <v>44936</v>
      </c>
      <c r="B5" s="16" t="s">
        <v>1375</v>
      </c>
      <c r="C5" s="16" t="s">
        <v>39</v>
      </c>
      <c r="D5" s="16" t="s">
        <v>40</v>
      </c>
      <c r="E5" s="7" t="n">
        <v>1</v>
      </c>
      <c r="F5" s="16" t="s">
        <v>19</v>
      </c>
      <c r="G5" s="6" t="n">
        <v>6.86</v>
      </c>
      <c r="H5" s="6" t="n">
        <v>345.7</v>
      </c>
      <c r="I5" s="6" t="n">
        <v>394.48</v>
      </c>
      <c r="J5" s="6" t="n">
        <v>1</v>
      </c>
      <c r="K5" s="6" t="n">
        <v>6.86</v>
      </c>
      <c r="L5" s="6" t="n">
        <v>5.86</v>
      </c>
      <c r="M5" s="6" t="n">
        <v>1.49</v>
      </c>
      <c r="N5" s="6" t="n">
        <v>1.7</v>
      </c>
    </row>
    <row collapsed="false" customFormat="false" customHeight="false" hidden="false" ht="12.1" outlineLevel="0" r="6">
      <c r="A6" s="33" t="n">
        <v>45049</v>
      </c>
      <c r="B6" s="16" t="s">
        <v>1375</v>
      </c>
      <c r="C6" s="16" t="s">
        <v>73</v>
      </c>
      <c r="D6" s="16" t="s">
        <v>74</v>
      </c>
      <c r="E6" s="7" t="n">
        <v>1</v>
      </c>
      <c r="F6" s="16" t="s">
        <v>19</v>
      </c>
      <c r="G6" s="6" t="n">
        <v>60.58</v>
      </c>
      <c r="H6" s="6" t="n">
        <v>1223.8</v>
      </c>
      <c r="I6" s="6" t="n">
        <v>1031.08</v>
      </c>
      <c r="J6" s="6" t="n">
        <v>8</v>
      </c>
      <c r="K6" s="6" t="n">
        <v>60.58</v>
      </c>
      <c r="L6" s="6" t="n">
        <v>52.58</v>
      </c>
      <c r="M6" s="6" t="n">
        <v>5.1</v>
      </c>
      <c r="N6" s="6" t="n">
        <v>4.3</v>
      </c>
    </row>
    <row collapsed="false" customFormat="false" customHeight="false" hidden="false" ht="12.1" outlineLevel="0" r="7">
      <c r="A7" s="33" t="n">
        <v>45057</v>
      </c>
      <c r="B7" s="16" t="s">
        <v>1375</v>
      </c>
      <c r="C7" s="16" t="s">
        <v>16</v>
      </c>
      <c r="D7" s="16" t="s">
        <v>18</v>
      </c>
      <c r="E7" s="7" t="n">
        <v>30</v>
      </c>
      <c r="F7" s="16" t="s">
        <v>19</v>
      </c>
      <c r="G7" s="6" t="n">
        <v>25</v>
      </c>
      <c r="H7" s="6" t="n">
        <v>229.32</v>
      </c>
      <c r="I7" s="6" t="n">
        <v>153.61</v>
      </c>
      <c r="J7" s="6" t="n">
        <v>98</v>
      </c>
      <c r="K7" s="6" t="n">
        <v>750</v>
      </c>
      <c r="L7" s="6" t="n">
        <v>652</v>
      </c>
      <c r="M7" s="6" t="n">
        <v>14.15</v>
      </c>
      <c r="N7" s="6" t="n">
        <v>9.48</v>
      </c>
    </row>
    <row collapsed="false" customFormat="false" customHeight="false" hidden="false" ht="12.1" outlineLevel="0" r="8">
      <c r="A8" s="33" t="n">
        <v>45057</v>
      </c>
      <c r="B8" s="16" t="s">
        <v>1375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25</v>
      </c>
      <c r="H8" s="6" t="n">
        <v>226.55</v>
      </c>
      <c r="I8" s="6" t="n">
        <v>154.92</v>
      </c>
      <c r="J8" s="6" t="n">
        <v>65</v>
      </c>
      <c r="K8" s="6" t="n">
        <v>500</v>
      </c>
      <c r="L8" s="6" t="n">
        <v>435</v>
      </c>
      <c r="M8" s="6" t="n">
        <v>14.04</v>
      </c>
      <c r="N8" s="6" t="n">
        <v>9.6</v>
      </c>
    </row>
    <row collapsed="false" customFormat="false" customHeight="false" hidden="false" ht="12.1" outlineLevel="0" r="9">
      <c r="A9" s="33" t="n">
        <v>45076</v>
      </c>
      <c r="B9" s="16" t="s">
        <v>1375</v>
      </c>
      <c r="C9" s="16" t="s">
        <v>42</v>
      </c>
      <c r="D9" s="16" t="s">
        <v>43</v>
      </c>
      <c r="E9" s="7" t="n">
        <v>400</v>
      </c>
      <c r="F9" s="16" t="s">
        <v>19</v>
      </c>
      <c r="G9" s="6" t="n">
        <v>0.2837</v>
      </c>
      <c r="H9" s="6" t="n">
        <v>4.1225</v>
      </c>
      <c r="I9" s="6" t="n">
        <v>3.61</v>
      </c>
      <c r="J9" s="6" t="n">
        <v>15</v>
      </c>
      <c r="K9" s="6" t="n">
        <v>113.4621</v>
      </c>
      <c r="L9" s="6" t="n">
        <v>98.46</v>
      </c>
      <c r="M9" s="6" t="n">
        <v>6.82</v>
      </c>
      <c r="N9" s="6" t="n">
        <v>5.97</v>
      </c>
    </row>
    <row collapsed="false" customFormat="false" customHeight="false" hidden="false" ht="12.1" outlineLevel="0" r="10">
      <c r="A10" s="33" t="n">
        <v>45093</v>
      </c>
      <c r="B10" s="16" t="s">
        <v>1375</v>
      </c>
      <c r="C10" s="16" t="s">
        <v>36</v>
      </c>
      <c r="D10" s="16" t="s">
        <v>37</v>
      </c>
      <c r="E10" s="7" t="n">
        <v>10</v>
      </c>
      <c r="F10" s="16" t="s">
        <v>19</v>
      </c>
      <c r="G10" s="6" t="n">
        <v>4.84</v>
      </c>
      <c r="H10" s="6" t="n">
        <v>124.06</v>
      </c>
      <c r="I10" s="6" t="n">
        <v>116.15</v>
      </c>
      <c r="J10" s="6" t="n">
        <v>6</v>
      </c>
      <c r="K10" s="6" t="n">
        <v>48.4</v>
      </c>
      <c r="L10" s="6" t="n">
        <v>42.4</v>
      </c>
      <c r="M10" s="6" t="n">
        <v>3.65</v>
      </c>
      <c r="N10" s="6" t="n">
        <v>3.42</v>
      </c>
    </row>
    <row collapsed="false" customFormat="false" customHeight="false" hidden="false" ht="12.1" outlineLevel="0" r="11">
      <c r="A11" s="33" t="n">
        <v>45118</v>
      </c>
      <c r="B11" s="16" t="s">
        <v>1375</v>
      </c>
      <c r="C11" s="16" t="s">
        <v>39</v>
      </c>
      <c r="D11" s="16" t="s">
        <v>40</v>
      </c>
      <c r="E11" s="7" t="n">
        <v>1</v>
      </c>
      <c r="F11" s="16" t="s">
        <v>19</v>
      </c>
      <c r="G11" s="6" t="n">
        <v>27.71</v>
      </c>
      <c r="H11" s="6" t="n">
        <v>490.7</v>
      </c>
      <c r="I11" s="6" t="n">
        <v>394.48</v>
      </c>
      <c r="J11" s="6" t="n">
        <v>4</v>
      </c>
      <c r="K11" s="6" t="n">
        <v>27.71</v>
      </c>
      <c r="L11" s="6" t="n">
        <v>23.71</v>
      </c>
      <c r="M11" s="6" t="n">
        <v>6.01</v>
      </c>
      <c r="N11" s="6" t="n">
        <v>4.83</v>
      </c>
    </row>
    <row collapsed="false" customFormat="false" customHeight="false" hidden="false" ht="12.1" outlineLevel="0" r="12">
      <c r="A12" s="33" t="n">
        <v>45118</v>
      </c>
      <c r="B12" s="16" t="s">
        <v>1375</v>
      </c>
      <c r="C12" s="16" t="s">
        <v>921</v>
      </c>
      <c r="D12" s="16" t="s">
        <v>1376</v>
      </c>
      <c r="E12" s="7" t="n">
        <v>1000</v>
      </c>
      <c r="F12" s="16" t="s">
        <v>19</v>
      </c>
      <c r="G12" s="6" t="n">
        <v>0.0503</v>
      </c>
      <c r="H12" s="6" t="n">
        <v>0.8293</v>
      </c>
      <c r="I12" s="6" t="n">
        <v>0.75</v>
      </c>
      <c r="J12" s="6" t="n">
        <v>7</v>
      </c>
      <c r="K12" s="6" t="n">
        <v>50.2548</v>
      </c>
      <c r="L12" s="6" t="n">
        <v>43.25</v>
      </c>
      <c r="M12" s="6" t="n">
        <v>5.8</v>
      </c>
      <c r="N12" s="6" t="n">
        <v>5.22</v>
      </c>
    </row>
    <row collapsed="false" customFormat="false" customHeight="false" hidden="false" ht="12.1" outlineLevel="0" r="13">
      <c r="A13" s="33" t="n">
        <v>45126</v>
      </c>
      <c r="B13" s="16" t="s">
        <v>1375</v>
      </c>
      <c r="C13" s="16" t="s">
        <v>67</v>
      </c>
      <c r="D13" s="16" t="s">
        <v>68</v>
      </c>
      <c r="E13" s="7" t="n">
        <v>100</v>
      </c>
      <c r="F13" s="16" t="s">
        <v>19</v>
      </c>
      <c r="G13" s="6" t="n">
        <v>0.41</v>
      </c>
      <c r="H13" s="6" t="n">
        <v>17.648</v>
      </c>
      <c r="I13" s="6" t="n">
        <v>12.08</v>
      </c>
      <c r="J13" s="6" t="n">
        <v>5</v>
      </c>
      <c r="K13" s="6" t="n">
        <v>41</v>
      </c>
      <c r="L13" s="6" t="n">
        <v>36</v>
      </c>
      <c r="M13" s="6" t="n">
        <v>2.98</v>
      </c>
      <c r="N13" s="6" t="n">
        <v>2.04</v>
      </c>
    </row>
    <row collapsed="false" customFormat="false" customHeight="false" hidden="false" ht="12.1" outlineLevel="0" r="14">
      <c r="A14" s="33" t="n">
        <v>45127</v>
      </c>
      <c r="B14" s="16" t="s">
        <v>1375</v>
      </c>
      <c r="C14" s="16" t="s">
        <v>71</v>
      </c>
      <c r="D14" s="16" t="s">
        <v>72</v>
      </c>
      <c r="E14" s="7" t="n">
        <v>100</v>
      </c>
      <c r="F14" s="16" t="s">
        <v>19</v>
      </c>
      <c r="G14" s="6" t="n">
        <v>0.8</v>
      </c>
      <c r="H14" s="6" t="n">
        <v>28.355</v>
      </c>
      <c r="I14" s="6" t="n">
        <v>22.33</v>
      </c>
      <c r="J14" s="6" t="n">
        <v>10</v>
      </c>
      <c r="K14" s="6" t="n">
        <v>80</v>
      </c>
      <c r="L14" s="6" t="n">
        <v>70</v>
      </c>
      <c r="M14" s="6" t="n">
        <v>3.14</v>
      </c>
      <c r="N14" s="6" t="n">
        <v>2.47</v>
      </c>
    </row>
    <row collapsed="false" customFormat="false" customHeight="false" hidden="false" ht="12.1" outlineLevel="0" r="15">
      <c r="A15" s="33" t="n">
        <v>45127</v>
      </c>
      <c r="B15" s="16" t="s">
        <v>1375</v>
      </c>
      <c r="C15" s="16" t="s">
        <v>53</v>
      </c>
      <c r="D15" s="16" t="s">
        <v>54</v>
      </c>
      <c r="E15" s="7" t="n">
        <v>100</v>
      </c>
      <c r="F15" s="16" t="s">
        <v>19</v>
      </c>
      <c r="G15" s="6" t="n">
        <v>0.8</v>
      </c>
      <c r="H15" s="6" t="n">
        <v>42.025</v>
      </c>
      <c r="I15" s="6" t="n">
        <v>33.42</v>
      </c>
      <c r="J15" s="6" t="n">
        <v>10</v>
      </c>
      <c r="K15" s="6" t="n">
        <v>80</v>
      </c>
      <c r="L15" s="6" t="n">
        <v>70</v>
      </c>
      <c r="M15" s="6" t="n">
        <v>2.09</v>
      </c>
      <c r="N15" s="6" t="n">
        <v>1.67</v>
      </c>
    </row>
    <row collapsed="false" customFormat="false" customHeight="false" hidden="false" ht="12.1" outlineLevel="0" r="16">
      <c r="A16" s="33" t="n">
        <v>45209</v>
      </c>
      <c r="B16" s="16" t="s">
        <v>1375</v>
      </c>
      <c r="C16" s="16" t="s">
        <v>73</v>
      </c>
      <c r="D16" s="16" t="s">
        <v>74</v>
      </c>
      <c r="E16" s="7" t="n">
        <v>1</v>
      </c>
      <c r="F16" s="16" t="s">
        <v>19</v>
      </c>
      <c r="G16" s="6" t="n">
        <v>34.5</v>
      </c>
      <c r="H16" s="6" t="n">
        <v>1717.4</v>
      </c>
      <c r="I16" s="6" t="n">
        <v>1031.08</v>
      </c>
      <c r="J16" s="6" t="n">
        <v>4</v>
      </c>
      <c r="K16" s="6" t="n">
        <v>34.5</v>
      </c>
      <c r="L16" s="6" t="n">
        <v>30.5</v>
      </c>
      <c r="M16" s="6" t="n">
        <v>2.96</v>
      </c>
      <c r="N16" s="6" t="n">
        <v>1.78</v>
      </c>
    </row>
    <row collapsed="false" customFormat="false" customHeight="false" hidden="false" ht="12.1" outlineLevel="0" r="17">
      <c r="A17" s="33" t="n">
        <v>45210</v>
      </c>
      <c r="B17" s="16" t="s">
        <v>1375</v>
      </c>
      <c r="C17" s="16" t="s">
        <v>39</v>
      </c>
      <c r="D17" s="16" t="s">
        <v>40</v>
      </c>
      <c r="E17" s="7" t="n">
        <v>1</v>
      </c>
      <c r="F17" s="16" t="s">
        <v>19</v>
      </c>
      <c r="G17" s="6" t="n">
        <v>27.54</v>
      </c>
      <c r="H17" s="6" t="n">
        <v>618.8</v>
      </c>
      <c r="I17" s="6" t="n">
        <v>394.48</v>
      </c>
      <c r="J17" s="6" t="n">
        <v>4</v>
      </c>
      <c r="K17" s="6" t="n">
        <v>27.54</v>
      </c>
      <c r="L17" s="6" t="n">
        <v>23.54</v>
      </c>
      <c r="M17" s="6" t="n">
        <v>5.97</v>
      </c>
      <c r="N17" s="6" t="n">
        <v>3.8</v>
      </c>
    </row>
    <row collapsed="false" customFormat="false" customHeight="false" hidden="false" ht="12.1" outlineLevel="0" r="18">
      <c r="A18" s="33" t="n">
        <v>45261</v>
      </c>
      <c r="B18" s="16" t="s">
        <v>1375</v>
      </c>
      <c r="C18" s="16" t="s">
        <v>62</v>
      </c>
      <c r="D18" s="16" t="s">
        <v>63</v>
      </c>
      <c r="E18" s="7" t="n">
        <v>20</v>
      </c>
      <c r="F18" s="16" t="s">
        <v>19</v>
      </c>
      <c r="G18" s="6" t="n">
        <v>5.4465</v>
      </c>
      <c r="H18" s="6" t="n">
        <v>74.82</v>
      </c>
      <c r="I18" s="6" t="n">
        <v>68.31</v>
      </c>
      <c r="J18" s="6" t="n">
        <v>14</v>
      </c>
      <c r="K18" s="6" t="n">
        <v>108.93</v>
      </c>
      <c r="L18" s="6" t="n">
        <v>94.93</v>
      </c>
      <c r="M18" s="6" t="n">
        <v>6.95</v>
      </c>
      <c r="N18" s="6" t="n">
        <v>6.34</v>
      </c>
    </row>
    <row collapsed="false" customFormat="false" customHeight="false" hidden="false" ht="12.1" outlineLevel="0" r="19">
      <c r="A19" s="33" t="n">
        <v>45300</v>
      </c>
      <c r="B19" s="16" t="s">
        <v>1375</v>
      </c>
      <c r="C19" s="16" t="s">
        <v>39</v>
      </c>
      <c r="D19" s="16" t="s">
        <v>40</v>
      </c>
      <c r="E19" s="7" t="n">
        <v>1</v>
      </c>
      <c r="F19" s="16" t="s">
        <v>19</v>
      </c>
      <c r="G19" s="6" t="n">
        <v>35.17</v>
      </c>
      <c r="H19" s="6" t="n">
        <v>686.7</v>
      </c>
      <c r="I19" s="6" t="n">
        <v>394.48</v>
      </c>
      <c r="J19" s="6" t="n">
        <v>5</v>
      </c>
      <c r="K19" s="6" t="n">
        <v>35.17</v>
      </c>
      <c r="L19" s="6" t="n">
        <v>30.17</v>
      </c>
      <c r="M19" s="6" t="n">
        <v>7.65</v>
      </c>
      <c r="N19" s="6" t="n">
        <v>4.39</v>
      </c>
    </row>
    <row collapsed="false" customFormat="false" customHeight="false" hidden="false" ht="12.1" outlineLevel="0" r="20">
      <c r="A20" s="33" t="n">
        <v>45377</v>
      </c>
      <c r="B20" s="16" t="s">
        <v>1375</v>
      </c>
      <c r="C20" s="16" t="s">
        <v>73</v>
      </c>
      <c r="D20" s="16" t="s">
        <v>74</v>
      </c>
      <c r="E20" s="7" t="n">
        <v>1</v>
      </c>
      <c r="F20" s="16" t="s">
        <v>19</v>
      </c>
      <c r="G20" s="6" t="n">
        <v>44.09</v>
      </c>
      <c r="H20" s="6" t="n">
        <v>1316.8</v>
      </c>
      <c r="I20" s="6" t="n">
        <v>1031.08</v>
      </c>
      <c r="J20" s="6" t="n">
        <v>6</v>
      </c>
      <c r="K20" s="6" t="n">
        <v>44.09</v>
      </c>
      <c r="L20" s="6" t="n">
        <v>38.09</v>
      </c>
      <c r="M20" s="6" t="n">
        <v>3.69</v>
      </c>
      <c r="N20" s="6" t="n">
        <v>2.89</v>
      </c>
    </row>
    <row collapsed="false" customFormat="false" customHeight="false" hidden="false" ht="12.1" outlineLevel="0" r="21">
      <c r="A21" s="33" t="n">
        <v>45446</v>
      </c>
      <c r="B21" s="16" t="s">
        <v>1375</v>
      </c>
      <c r="C21" s="16" t="s">
        <v>42</v>
      </c>
      <c r="D21" s="16" t="s">
        <v>43</v>
      </c>
      <c r="E21" s="7" t="n">
        <v>1000</v>
      </c>
      <c r="F21" s="16" t="s">
        <v>19</v>
      </c>
      <c r="G21" s="6" t="n">
        <v>0.326</v>
      </c>
      <c r="H21" s="6" t="n">
        <v>3.794</v>
      </c>
      <c r="I21" s="6" t="n">
        <v>4</v>
      </c>
      <c r="J21" s="6" t="n">
        <v>42</v>
      </c>
      <c r="K21" s="6" t="n">
        <v>325.9993</v>
      </c>
      <c r="L21" s="6" t="n">
        <v>284</v>
      </c>
      <c r="M21" s="6" t="n">
        <v>7.1</v>
      </c>
      <c r="N21" s="6" t="n">
        <v>7.49</v>
      </c>
    </row>
    <row collapsed="false" customFormat="false" customHeight="false" hidden="false" ht="12.1" outlineLevel="0" r="22">
      <c r="A22" s="33" t="n">
        <v>45453</v>
      </c>
      <c r="B22" s="16" t="s">
        <v>1375</v>
      </c>
      <c r="C22" s="16" t="s">
        <v>77</v>
      </c>
      <c r="D22" s="16" t="s">
        <v>78</v>
      </c>
      <c r="E22" s="7" t="n">
        <v>30</v>
      </c>
      <c r="F22" s="16" t="s">
        <v>19</v>
      </c>
      <c r="G22" s="6" t="n">
        <v>2.752</v>
      </c>
      <c r="H22" s="6" t="n">
        <v>55.06</v>
      </c>
      <c r="I22" s="6" t="n">
        <v>33.98</v>
      </c>
      <c r="J22" s="6" t="n">
        <v>11</v>
      </c>
      <c r="K22" s="6" t="n">
        <v>82.56</v>
      </c>
      <c r="L22" s="6" t="n">
        <v>71.56</v>
      </c>
      <c r="M22" s="6" t="n">
        <v>7.02</v>
      </c>
      <c r="N22" s="6" t="n">
        <v>4.33</v>
      </c>
    </row>
    <row collapsed="false" customFormat="false" customHeight="false" hidden="false" ht="12.1" outlineLevel="0" r="23">
      <c r="A23" s="33" t="n">
        <v>45457</v>
      </c>
      <c r="B23" s="16" t="s">
        <v>1375</v>
      </c>
      <c r="C23" s="16" t="s">
        <v>36</v>
      </c>
      <c r="D23" s="16" t="s">
        <v>37</v>
      </c>
      <c r="E23" s="7" t="n">
        <v>10</v>
      </c>
      <c r="F23" s="16" t="s">
        <v>19</v>
      </c>
      <c r="G23" s="6" t="n">
        <v>17.35</v>
      </c>
      <c r="H23" s="6" t="n">
        <v>240.1</v>
      </c>
      <c r="I23" s="6" t="n">
        <v>116.15</v>
      </c>
      <c r="J23" s="6" t="n">
        <v>23</v>
      </c>
      <c r="K23" s="6" t="n">
        <v>173.5</v>
      </c>
      <c r="L23" s="6" t="n">
        <v>150.5</v>
      </c>
      <c r="M23" s="6" t="n">
        <v>12.96</v>
      </c>
      <c r="N23" s="6" t="n">
        <v>6.27</v>
      </c>
    </row>
    <row collapsed="false" customFormat="false" customHeight="false" hidden="false" ht="12.1" outlineLevel="0" r="24">
      <c r="A24" s="33" t="n">
        <v>45482</v>
      </c>
      <c r="B24" s="16" t="s">
        <v>1375</v>
      </c>
      <c r="C24" s="16" t="s">
        <v>936</v>
      </c>
      <c r="D24" s="16" t="s">
        <v>1377</v>
      </c>
      <c r="E24" s="7" t="n">
        <v>1000</v>
      </c>
      <c r="F24" s="16" t="s">
        <v>19</v>
      </c>
      <c r="G24" s="6" t="n">
        <v>0.1604</v>
      </c>
      <c r="H24" s="6" t="n">
        <v>2.7985</v>
      </c>
      <c r="I24" s="6" t="n">
        <v>3.14</v>
      </c>
      <c r="J24" s="6" t="n">
        <v>21</v>
      </c>
      <c r="K24" s="6" t="n">
        <v>160.38</v>
      </c>
      <c r="L24" s="6" t="n">
        <v>139.38</v>
      </c>
      <c r="M24" s="6" t="n">
        <v>4.44</v>
      </c>
      <c r="N24" s="6" t="n">
        <v>4.98</v>
      </c>
    </row>
    <row collapsed="false" customFormat="false" customHeight="false" hidden="false" ht="12.1" outlineLevel="0" r="25">
      <c r="A25" s="33" t="n">
        <v>45482</v>
      </c>
      <c r="B25" s="16" t="s">
        <v>1375</v>
      </c>
      <c r="C25" s="16" t="s">
        <v>39</v>
      </c>
      <c r="D25" s="16" t="s">
        <v>40</v>
      </c>
      <c r="E25" s="7" t="n">
        <v>1</v>
      </c>
      <c r="F25" s="16" t="s">
        <v>19</v>
      </c>
      <c r="G25" s="6" t="n">
        <v>25.17</v>
      </c>
      <c r="H25" s="6" t="n">
        <v>660.5</v>
      </c>
      <c r="I25" s="6" t="n">
        <v>394.48</v>
      </c>
      <c r="J25" s="6" t="n">
        <v>3</v>
      </c>
      <c r="K25" s="6" t="n">
        <v>25.17</v>
      </c>
      <c r="L25" s="6" t="n">
        <v>22.17</v>
      </c>
      <c r="M25" s="6" t="n">
        <v>5.62</v>
      </c>
      <c r="N25" s="6" t="n">
        <v>3.36</v>
      </c>
    </row>
    <row collapsed="false" customFormat="false" customHeight="false" hidden="false" ht="12.1" outlineLevel="0" r="26">
      <c r="A26" s="33" t="n">
        <v>45484</v>
      </c>
      <c r="B26" s="16" t="s">
        <v>1375</v>
      </c>
      <c r="C26" s="16" t="s">
        <v>16</v>
      </c>
      <c r="D26" s="16" t="s">
        <v>18</v>
      </c>
      <c r="E26" s="7" t="n">
        <v>130</v>
      </c>
      <c r="F26" s="16" t="s">
        <v>19</v>
      </c>
      <c r="G26" s="6" t="n">
        <v>33.3</v>
      </c>
      <c r="H26" s="6" t="n">
        <v>295.87</v>
      </c>
      <c r="I26" s="6" t="n">
        <v>240.65</v>
      </c>
      <c r="J26" s="6" t="n">
        <v>563</v>
      </c>
      <c r="K26" s="6" t="n">
        <v>4329</v>
      </c>
      <c r="L26" s="6" t="n">
        <v>3766</v>
      </c>
      <c r="M26" s="6" t="n">
        <v>12.04</v>
      </c>
      <c r="N26" s="6" t="n">
        <v>9.79</v>
      </c>
    </row>
    <row collapsed="false" customFormat="false" customHeight="false" hidden="false" ht="12.1" outlineLevel="0" r="27">
      <c r="A27" s="33" t="n">
        <v>45484</v>
      </c>
      <c r="B27" s="16" t="s">
        <v>1375</v>
      </c>
      <c r="C27" s="16" t="s">
        <v>30</v>
      </c>
      <c r="D27" s="16" t="s">
        <v>31</v>
      </c>
      <c r="E27" s="7" t="n">
        <v>30</v>
      </c>
      <c r="F27" s="16" t="s">
        <v>19</v>
      </c>
      <c r="G27" s="6" t="n">
        <v>33.3</v>
      </c>
      <c r="H27" s="6" t="n">
        <v>296</v>
      </c>
      <c r="I27" s="6" t="n">
        <v>205.89</v>
      </c>
      <c r="J27" s="6" t="n">
        <v>130</v>
      </c>
      <c r="K27" s="6" t="n">
        <v>999</v>
      </c>
      <c r="L27" s="6" t="n">
        <v>869</v>
      </c>
      <c r="M27" s="6" t="n">
        <v>14.07</v>
      </c>
      <c r="N27" s="6" t="n">
        <v>9.79</v>
      </c>
    </row>
    <row collapsed="false" customFormat="false" customHeight="false" hidden="false" ht="12.1" outlineLevel="0" r="28">
      <c r="A28" s="33" t="n">
        <v>45489</v>
      </c>
      <c r="B28" s="16" t="s">
        <v>1375</v>
      </c>
      <c r="C28" s="16" t="s">
        <v>45</v>
      </c>
      <c r="D28" s="16" t="s">
        <v>46</v>
      </c>
      <c r="E28" s="7" t="n">
        <v>10</v>
      </c>
      <c r="F28" s="16" t="s">
        <v>19</v>
      </c>
      <c r="G28" s="6" t="n">
        <v>35</v>
      </c>
      <c r="H28" s="6" t="n">
        <v>220.85</v>
      </c>
      <c r="I28" s="6" t="n">
        <v>276.18</v>
      </c>
      <c r="J28" s="6" t="n">
        <v>46</v>
      </c>
      <c r="K28" s="6" t="n">
        <v>350</v>
      </c>
      <c r="L28" s="6" t="n">
        <v>304</v>
      </c>
      <c r="M28" s="6" t="n">
        <v>11.01</v>
      </c>
      <c r="N28" s="6" t="n">
        <v>13.76</v>
      </c>
    </row>
    <row collapsed="false" customFormat="false" customHeight="false" hidden="false" ht="12.1" outlineLevel="0" r="29">
      <c r="A29" s="33" t="n">
        <v>45490</v>
      </c>
      <c r="B29" s="16" t="s">
        <v>1375</v>
      </c>
      <c r="C29" s="16" t="s">
        <v>67</v>
      </c>
      <c r="D29" s="16" t="s">
        <v>68</v>
      </c>
      <c r="E29" s="7" t="n">
        <v>100</v>
      </c>
      <c r="F29" s="16" t="s">
        <v>19</v>
      </c>
      <c r="G29" s="6" t="n">
        <v>0.52</v>
      </c>
      <c r="H29" s="6" t="n">
        <v>21.288</v>
      </c>
      <c r="I29" s="6" t="n">
        <v>12.08</v>
      </c>
      <c r="J29" s="6" t="n">
        <v>7</v>
      </c>
      <c r="K29" s="6" t="n">
        <v>52</v>
      </c>
      <c r="L29" s="6" t="n">
        <v>45</v>
      </c>
      <c r="M29" s="6" t="n">
        <v>3.72</v>
      </c>
      <c r="N29" s="6" t="n">
        <v>2.11</v>
      </c>
    </row>
    <row collapsed="false" customFormat="false" customHeight="false" hidden="false" ht="12.1" outlineLevel="0" r="30">
      <c r="A30" s="33" t="n">
        <v>45491</v>
      </c>
      <c r="B30" s="16" t="s">
        <v>1375</v>
      </c>
      <c r="C30" s="16" t="s">
        <v>71</v>
      </c>
      <c r="D30" s="16" t="s">
        <v>72</v>
      </c>
      <c r="E30" s="7" t="n">
        <v>100</v>
      </c>
      <c r="F30" s="16" t="s">
        <v>19</v>
      </c>
      <c r="G30" s="6" t="n">
        <v>0.85</v>
      </c>
      <c r="H30" s="6" t="n">
        <v>27.855</v>
      </c>
      <c r="I30" s="6" t="n">
        <v>22.33</v>
      </c>
      <c r="J30" s="6" t="n">
        <v>11</v>
      </c>
      <c r="K30" s="6" t="n">
        <v>85</v>
      </c>
      <c r="L30" s="6" t="n">
        <v>74</v>
      </c>
      <c r="M30" s="6" t="n">
        <v>3.31</v>
      </c>
      <c r="N30" s="6" t="n">
        <v>2.66</v>
      </c>
    </row>
    <row collapsed="false" customFormat="false" customHeight="false" hidden="false" ht="12.1" outlineLevel="0" r="31">
      <c r="A31" s="33" t="n">
        <v>45491</v>
      </c>
      <c r="B31" s="16" t="s">
        <v>1375</v>
      </c>
      <c r="C31" s="16" t="s">
        <v>53</v>
      </c>
      <c r="D31" s="16" t="s">
        <v>54</v>
      </c>
      <c r="E31" s="7" t="n">
        <v>100</v>
      </c>
      <c r="F31" s="16" t="s">
        <v>19</v>
      </c>
      <c r="G31" s="6" t="n">
        <v>12.29</v>
      </c>
      <c r="H31" s="6" t="n">
        <v>49.27</v>
      </c>
      <c r="I31" s="6" t="n">
        <v>33.42</v>
      </c>
      <c r="J31" s="6" t="n">
        <v>160</v>
      </c>
      <c r="K31" s="6" t="n">
        <v>1229</v>
      </c>
      <c r="L31" s="6" t="n">
        <v>1069</v>
      </c>
      <c r="M31" s="6" t="n">
        <v>31.99</v>
      </c>
      <c r="N31" s="6" t="n">
        <v>21.7</v>
      </c>
    </row>
    <row collapsed="false" customFormat="false" customHeight="false" hidden="false" ht="12.1" outlineLevel="0" r="32">
      <c r="A32" s="33" t="n">
        <v>45493</v>
      </c>
      <c r="B32" s="16" t="s">
        <v>1375</v>
      </c>
      <c r="C32" s="16" t="s">
        <v>933</v>
      </c>
      <c r="D32" s="16" t="s">
        <v>1378</v>
      </c>
      <c r="E32" s="7" t="n">
        <v>10</v>
      </c>
      <c r="F32" s="16" t="s">
        <v>19</v>
      </c>
      <c r="G32" s="6" t="n">
        <v>11.27</v>
      </c>
      <c r="H32" s="6" t="n">
        <v>111.9</v>
      </c>
      <c r="I32" s="6" t="n">
        <v>142.12</v>
      </c>
      <c r="J32" s="6" t="n">
        <v>15</v>
      </c>
      <c r="K32" s="6" t="n">
        <v>112.7</v>
      </c>
      <c r="L32" s="6" t="n">
        <v>97.7</v>
      </c>
      <c r="M32" s="6" t="n">
        <v>6.87</v>
      </c>
      <c r="N32" s="6" t="n">
        <v>8.73</v>
      </c>
    </row>
    <row collapsed="false" customFormat="false" customHeight="false" hidden="false" ht="12.1" outlineLevel="0" r="33">
      <c r="A33" s="33" t="n">
        <v>45562</v>
      </c>
      <c r="B33" s="16" t="s">
        <v>1375</v>
      </c>
      <c r="C33" s="16" t="s">
        <v>62</v>
      </c>
      <c r="D33" s="16" t="s">
        <v>63</v>
      </c>
      <c r="E33" s="7" t="n">
        <v>40</v>
      </c>
      <c r="F33" s="16" t="s">
        <v>19</v>
      </c>
      <c r="G33" s="6" t="n">
        <v>6.06</v>
      </c>
      <c r="H33" s="6" t="n">
        <v>76.67</v>
      </c>
      <c r="I33" s="6" t="n">
        <v>73.93</v>
      </c>
      <c r="J33" s="6" t="n">
        <v>32</v>
      </c>
      <c r="K33" s="6" t="n">
        <v>242.4</v>
      </c>
      <c r="L33" s="6" t="n">
        <v>210.4</v>
      </c>
      <c r="M33" s="6" t="n">
        <v>7.11</v>
      </c>
      <c r="N33" s="6" t="n">
        <v>6.86</v>
      </c>
    </row>
    <row collapsed="false" customFormat="false" customHeight="false" hidden="false" ht="12.1" outlineLevel="0" r="34">
      <c r="A34" s="33" t="n">
        <v>45573</v>
      </c>
      <c r="B34" s="16" t="s">
        <v>1375</v>
      </c>
      <c r="C34" s="16" t="s">
        <v>39</v>
      </c>
      <c r="D34" s="16" t="s">
        <v>40</v>
      </c>
      <c r="E34" s="7" t="n">
        <v>1</v>
      </c>
      <c r="F34" s="16" t="s">
        <v>19</v>
      </c>
      <c r="G34" s="6" t="n">
        <v>38.2</v>
      </c>
      <c r="H34" s="6" t="n">
        <v>622.6</v>
      </c>
      <c r="I34" s="6" t="n">
        <v>394.48</v>
      </c>
      <c r="J34" s="6" t="n">
        <v>5</v>
      </c>
      <c r="K34" s="6" t="n">
        <v>38.2</v>
      </c>
      <c r="L34" s="6" t="n">
        <v>33.2</v>
      </c>
      <c r="M34" s="6" t="n">
        <v>8.42</v>
      </c>
      <c r="N34" s="6" t="n">
        <v>5.33</v>
      </c>
    </row>
    <row collapsed="false" customFormat="false" customHeight="false" hidden="false" ht="12.1" outlineLevel="0" r="35">
      <c r="A35" s="33" t="n">
        <v>45576</v>
      </c>
      <c r="B35" s="16" t="s">
        <v>1375</v>
      </c>
      <c r="C35" s="16" t="s">
        <v>73</v>
      </c>
      <c r="D35" s="16" t="s">
        <v>74</v>
      </c>
      <c r="E35" s="7" t="n">
        <v>1</v>
      </c>
      <c r="F35" s="16" t="s">
        <v>19</v>
      </c>
      <c r="G35" s="6" t="n">
        <v>35.5</v>
      </c>
      <c r="H35" s="6" t="n">
        <v>957.8</v>
      </c>
      <c r="I35" s="6" t="n">
        <v>1031.08</v>
      </c>
      <c r="J35" s="6" t="n">
        <v>5</v>
      </c>
      <c r="K35" s="6" t="n">
        <v>35.5</v>
      </c>
      <c r="L35" s="6" t="n">
        <v>30.5</v>
      </c>
      <c r="M35" s="6" t="n">
        <v>2.96</v>
      </c>
      <c r="N35" s="6" t="n">
        <v>3.18</v>
      </c>
    </row>
    <row collapsed="false" customFormat="false" customHeight="false" hidden="false" ht="12.1" outlineLevel="0" r="36">
      <c r="A36" s="33" t="n">
        <v>45582</v>
      </c>
      <c r="B36" s="16" t="s">
        <v>1375</v>
      </c>
      <c r="C36" s="16" t="s">
        <v>77</v>
      </c>
      <c r="D36" s="16" t="s">
        <v>78</v>
      </c>
      <c r="E36" s="7" t="n">
        <v>30</v>
      </c>
      <c r="F36" s="16" t="s">
        <v>19</v>
      </c>
      <c r="G36" s="6" t="n">
        <v>2.494</v>
      </c>
      <c r="H36" s="6" t="n">
        <v>40.655</v>
      </c>
      <c r="I36" s="6" t="n">
        <v>33.98</v>
      </c>
      <c r="J36" s="6" t="n">
        <v>10</v>
      </c>
      <c r="K36" s="6" t="n">
        <v>74.82</v>
      </c>
      <c r="L36" s="6" t="n">
        <v>64.82</v>
      </c>
      <c r="M36" s="6" t="n">
        <v>6.36</v>
      </c>
      <c r="N36" s="6" t="n">
        <v>5.31</v>
      </c>
    </row>
    <row collapsed="false" customFormat="false" customHeight="false" hidden="false" ht="12.1" outlineLevel="0" r="37">
      <c r="A37" s="33" t="n">
        <v>45584</v>
      </c>
      <c r="B37" s="16" t="s">
        <v>1375</v>
      </c>
      <c r="C37" s="16" t="s">
        <v>81</v>
      </c>
      <c r="D37" s="16" t="s">
        <v>82</v>
      </c>
      <c r="E37" s="7" t="n">
        <v>10</v>
      </c>
      <c r="F37" s="16" t="s">
        <v>19</v>
      </c>
      <c r="G37" s="6" t="n">
        <v>2.49</v>
      </c>
      <c r="H37" s="6" t="n">
        <v>52.2</v>
      </c>
      <c r="I37" s="6" t="n">
        <v>70.72</v>
      </c>
      <c r="J37" s="6" t="n">
        <v>3</v>
      </c>
      <c r="K37" s="6" t="n">
        <v>24.9</v>
      </c>
      <c r="L37" s="6" t="n">
        <v>21.9</v>
      </c>
      <c r="M37" s="6" t="n">
        <v>3.1</v>
      </c>
      <c r="N37" s="6" t="n">
        <v>4.2</v>
      </c>
    </row>
    <row collapsed="false" customFormat="false" customHeight="false" hidden="false" ht="12.1" outlineLevel="0" r="38">
      <c r="A38" s="33" t="n">
        <v>45639</v>
      </c>
      <c r="B38" s="16" t="s">
        <v>1375</v>
      </c>
      <c r="C38" s="16" t="s">
        <v>24</v>
      </c>
      <c r="D38" s="16" t="s">
        <v>25</v>
      </c>
      <c r="E38" s="7" t="n">
        <v>1</v>
      </c>
      <c r="F38" s="16" t="s">
        <v>19</v>
      </c>
      <c r="G38" s="6" t="n">
        <v>1301.75</v>
      </c>
      <c r="H38" s="6" t="n">
        <v>13692.5</v>
      </c>
      <c r="I38" s="6" t="n">
        <v>9215.06</v>
      </c>
      <c r="J38" s="6" t="n">
        <v>169</v>
      </c>
      <c r="K38" s="6" t="n">
        <v>1301.75</v>
      </c>
      <c r="L38" s="6" t="n">
        <v>1132.75</v>
      </c>
      <c r="M38" s="6" t="n">
        <v>12.29</v>
      </c>
      <c r="N38" s="6" t="n">
        <v>8.27</v>
      </c>
    </row>
    <row collapsed="false" customFormat="false" customHeight="false" hidden="false" ht="12.1" outlineLevel="0" r="39">
      <c r="A39" s="33" t="n">
        <v>45665</v>
      </c>
      <c r="B39" s="16" t="s">
        <v>1375</v>
      </c>
      <c r="C39" s="16" t="s">
        <v>39</v>
      </c>
      <c r="D39" s="16" t="s">
        <v>40</v>
      </c>
      <c r="E39" s="7" t="n">
        <v>9</v>
      </c>
      <c r="F39" s="16" t="s">
        <v>19</v>
      </c>
      <c r="G39" s="6" t="n">
        <v>17.39</v>
      </c>
      <c r="H39" s="6" t="n">
        <v>654.7</v>
      </c>
      <c r="I39" s="6" t="n">
        <v>541.85</v>
      </c>
      <c r="J39" s="6" t="n">
        <v>20</v>
      </c>
      <c r="K39" s="6" t="n">
        <v>156.51</v>
      </c>
      <c r="L39" s="6" t="n">
        <v>136.51</v>
      </c>
      <c r="M39" s="6" t="n">
        <v>2.8</v>
      </c>
      <c r="N39" s="6" t="n">
        <v>2.32</v>
      </c>
    </row>
    <row collapsed="false" customFormat="false" customHeight="false" hidden="false" ht="12.1" outlineLevel="0" r="40">
      <c r="A40" s="33" t="n">
        <v>45772</v>
      </c>
      <c r="B40" s="16" t="s">
        <v>1375</v>
      </c>
      <c r="C40" s="16" t="s">
        <v>24</v>
      </c>
      <c r="D40" s="16" t="s">
        <v>25</v>
      </c>
      <c r="E40" s="7" t="n">
        <v>10</v>
      </c>
      <c r="F40" s="16" t="s">
        <v>19</v>
      </c>
      <c r="G40" s="6" t="n">
        <v>73</v>
      </c>
      <c r="H40" s="6" t="n">
        <v>1856.8</v>
      </c>
      <c r="I40" s="6" t="n">
        <v>921.51</v>
      </c>
      <c r="J40" s="6" t="n">
        <v>95</v>
      </c>
      <c r="K40" s="6" t="n">
        <v>730</v>
      </c>
      <c r="L40" s="6" t="n">
        <v>635</v>
      </c>
      <c r="M40" s="6" t="n">
        <v>6.89</v>
      </c>
      <c r="N40" s="6" t="n">
        <v>3.42</v>
      </c>
    </row>
    <row collapsed="false" customFormat="false" customHeight="false" hidden="false" ht="12.1" outlineLevel="0" r="41">
      <c r="A41" s="33" t="n">
        <v>45775</v>
      </c>
      <c r="B41" s="16" t="s">
        <v>1375</v>
      </c>
      <c r="C41" s="16" t="s">
        <v>73</v>
      </c>
      <c r="D41" s="16" t="s">
        <v>74</v>
      </c>
      <c r="E41" s="7" t="n">
        <v>1</v>
      </c>
      <c r="F41" s="16" t="s">
        <v>19</v>
      </c>
      <c r="G41" s="6" t="n">
        <v>46.65</v>
      </c>
      <c r="H41" s="6" t="n">
        <v>1266.2</v>
      </c>
      <c r="I41" s="6" t="n">
        <v>1031.08</v>
      </c>
      <c r="J41" s="6" t="n">
        <v>6</v>
      </c>
      <c r="K41" s="6" t="n">
        <v>46.65</v>
      </c>
      <c r="L41" s="6" t="n">
        <v>40.65</v>
      </c>
      <c r="M41" s="6" t="n">
        <v>3.94</v>
      </c>
      <c r="N41" s="6" t="n">
        <v>3.21</v>
      </c>
    </row>
    <row collapsed="false" customFormat="false" customHeight="false" hidden="false" ht="12.1" outlineLevel="0" r="42">
      <c r="A42" s="33" t="n">
        <v>45782</v>
      </c>
      <c r="B42" s="16" t="s">
        <v>1375</v>
      </c>
      <c r="C42" s="16" t="s">
        <v>56</v>
      </c>
      <c r="D42" s="16" t="s">
        <v>57</v>
      </c>
      <c r="E42" s="7" t="n">
        <v>10</v>
      </c>
      <c r="F42" s="16" t="s">
        <v>19</v>
      </c>
      <c r="G42" s="6" t="n">
        <v>29.72</v>
      </c>
      <c r="H42" s="6" t="n">
        <v>378.42</v>
      </c>
      <c r="I42" s="6" t="n">
        <v>307.03</v>
      </c>
      <c r="J42" s="6" t="n">
        <v>39</v>
      </c>
      <c r="K42" s="6" t="n">
        <v>297.2</v>
      </c>
      <c r="L42" s="6" t="n">
        <v>258.2</v>
      </c>
      <c r="M42" s="6" t="n">
        <v>8.41</v>
      </c>
      <c r="N42" s="6" t="n">
        <v>6.82</v>
      </c>
    </row>
    <row collapsed="false" customFormat="false" customHeight="false" hidden="false" ht="12.1" outlineLevel="0" r="43">
      <c r="A43" s="33" t="n">
        <v>45793</v>
      </c>
      <c r="B43" s="16" t="s">
        <v>1375</v>
      </c>
      <c r="C43" s="16" t="s">
        <v>27</v>
      </c>
      <c r="D43" s="16" t="s">
        <v>28</v>
      </c>
      <c r="E43" s="7" t="n">
        <v>6</v>
      </c>
      <c r="F43" s="16" t="s">
        <v>19</v>
      </c>
      <c r="G43" s="6" t="n">
        <v>32</v>
      </c>
      <c r="H43" s="6" t="n">
        <v>3072.8</v>
      </c>
      <c r="I43" s="6" t="n">
        <v>3078.98</v>
      </c>
      <c r="J43" s="6" t="n">
        <v>25</v>
      </c>
      <c r="K43" s="6" t="n">
        <v>192</v>
      </c>
      <c r="L43" s="6" t="n">
        <v>167</v>
      </c>
      <c r="M43" s="6" t="n">
        <v>0.9</v>
      </c>
      <c r="N43" s="6" t="n">
        <v>0.91</v>
      </c>
    </row>
    <row collapsed="false" customFormat="false" customHeight="false" hidden="false" ht="12.1" outlineLevel="0" r="44">
      <c r="A44" s="33" t="n">
        <v>45810</v>
      </c>
      <c r="B44" s="16" t="s">
        <v>1375</v>
      </c>
      <c r="C44" s="16" t="s">
        <v>39</v>
      </c>
      <c r="D44" s="16" t="s">
        <v>40</v>
      </c>
      <c r="E44" s="7" t="n">
        <v>10</v>
      </c>
      <c r="F44" s="16" t="s">
        <v>19</v>
      </c>
      <c r="G44" s="6" t="n">
        <v>43.11</v>
      </c>
      <c r="H44" s="6" t="n">
        <v>656.5</v>
      </c>
      <c r="I44" s="6" t="n">
        <v>557.39</v>
      </c>
      <c r="J44" s="6" t="n">
        <v>56</v>
      </c>
      <c r="K44" s="6" t="n">
        <v>431.1</v>
      </c>
      <c r="L44" s="6" t="n">
        <v>375.1</v>
      </c>
      <c r="M44" s="6" t="n">
        <v>6.73</v>
      </c>
      <c r="N44" s="6" t="n">
        <v>5.71</v>
      </c>
    </row>
    <row collapsed="false" customFormat="false" customHeight="false" hidden="false" ht="12.1" outlineLevel="0" r="45">
      <c r="A45" s="33" t="n">
        <v>45817</v>
      </c>
      <c r="B45" s="16" t="s">
        <v>1375</v>
      </c>
      <c r="C45" s="16" t="s">
        <v>42</v>
      </c>
      <c r="D45" s="16" t="s">
        <v>43</v>
      </c>
      <c r="E45" s="7" t="n">
        <v>1400</v>
      </c>
      <c r="F45" s="16" t="s">
        <v>19</v>
      </c>
      <c r="G45" s="6" t="n">
        <v>0.3538</v>
      </c>
      <c r="H45" s="6" t="n">
        <v>3.276</v>
      </c>
      <c r="I45" s="6" t="n">
        <v>3.92</v>
      </c>
      <c r="J45" s="6" t="n">
        <v>64</v>
      </c>
      <c r="K45" s="6" t="n">
        <v>495.2591</v>
      </c>
      <c r="L45" s="6" t="n">
        <v>431.26</v>
      </c>
      <c r="M45" s="6" t="n">
        <v>7.86</v>
      </c>
      <c r="N45" s="6" t="n">
        <v>9.4</v>
      </c>
    </row>
    <row collapsed="false" customFormat="false" customHeight="false" hidden="false" ht="12.1" outlineLevel="0" r="46">
      <c r="A46" s="33" t="n">
        <v>45845</v>
      </c>
      <c r="B46" s="16" t="s">
        <v>1375</v>
      </c>
      <c r="C46" s="16" t="s">
        <v>45</v>
      </c>
      <c r="D46" s="16" t="s">
        <v>46</v>
      </c>
      <c r="E46" s="7" t="n">
        <v>20</v>
      </c>
      <c r="F46" s="16" t="s">
        <v>19</v>
      </c>
      <c r="G46" s="6" t="n">
        <v>35</v>
      </c>
      <c r="H46" s="6" t="n">
        <v>193.8</v>
      </c>
      <c r="I46" s="6" t="n">
        <v>229.94</v>
      </c>
      <c r="J46" s="6" t="n">
        <v>91</v>
      </c>
      <c r="K46" s="6" t="n">
        <v>700</v>
      </c>
      <c r="L46" s="6" t="n">
        <v>609</v>
      </c>
      <c r="M46" s="6" t="n">
        <v>13.24</v>
      </c>
      <c r="N46" s="6" t="n">
        <v>15.71</v>
      </c>
    </row>
    <row collapsed="false" customFormat="false" customHeight="false" hidden="false" ht="12.1" outlineLevel="0" r="47">
      <c r="A47" s="33" t="n">
        <v>45848</v>
      </c>
      <c r="B47" s="16" t="s">
        <v>1375</v>
      </c>
      <c r="C47" s="16" t="s">
        <v>36</v>
      </c>
      <c r="D47" s="16" t="s">
        <v>37</v>
      </c>
      <c r="E47" s="7" t="n">
        <v>30</v>
      </c>
      <c r="F47" s="16" t="s">
        <v>19</v>
      </c>
      <c r="G47" s="6" t="n">
        <v>26.11</v>
      </c>
      <c r="H47" s="6" t="n">
        <v>172.73</v>
      </c>
      <c r="I47" s="6" t="n">
        <v>185.13</v>
      </c>
      <c r="J47" s="6" t="n">
        <v>102</v>
      </c>
      <c r="K47" s="6" t="n">
        <v>783.3</v>
      </c>
      <c r="L47" s="6" t="n">
        <v>681.3</v>
      </c>
      <c r="M47" s="6" t="n">
        <v>12.27</v>
      </c>
      <c r="N47" s="6" t="n">
        <v>13.15</v>
      </c>
    </row>
    <row collapsed="false" customFormat="false" customHeight="false" hidden="false" ht="12.1" outlineLevel="0" r="48">
      <c r="A48" s="33" t="n">
        <v>45849</v>
      </c>
      <c r="B48" s="16" t="s">
        <v>1375</v>
      </c>
      <c r="C48" s="16" t="s">
        <v>51</v>
      </c>
      <c r="D48" s="16" t="s">
        <v>52</v>
      </c>
      <c r="E48" s="7" t="n">
        <v>50</v>
      </c>
      <c r="F48" s="16" t="s">
        <v>19</v>
      </c>
      <c r="G48" s="6" t="n">
        <v>25.58</v>
      </c>
      <c r="H48" s="6" t="n">
        <v>72.79</v>
      </c>
      <c r="I48" s="6" t="n">
        <v>98.15</v>
      </c>
      <c r="J48" s="6" t="n">
        <v>166</v>
      </c>
      <c r="K48" s="6" t="n">
        <v>1279</v>
      </c>
      <c r="L48" s="6" t="n">
        <v>1113</v>
      </c>
      <c r="M48" s="6" t="n">
        <v>22.68</v>
      </c>
      <c r="N48" s="6" t="n">
        <v>30.58</v>
      </c>
    </row>
    <row collapsed="false" customFormat="false" customHeight="false" hidden="false" ht="12.1" outlineLevel="0" r="49">
      <c r="A49" s="33" t="n">
        <v>45855</v>
      </c>
      <c r="B49" s="16" t="s">
        <v>1375</v>
      </c>
      <c r="C49" s="16" t="s">
        <v>27</v>
      </c>
      <c r="D49" s="16" t="s">
        <v>28</v>
      </c>
      <c r="E49" s="7" t="n">
        <v>7</v>
      </c>
      <c r="F49" s="16" t="s">
        <v>19</v>
      </c>
      <c r="G49" s="6" t="n">
        <v>33</v>
      </c>
      <c r="H49" s="6" t="n">
        <v>3281.6</v>
      </c>
      <c r="I49" s="6" t="n">
        <v>3112.83</v>
      </c>
      <c r="J49" s="6" t="n">
        <v>30</v>
      </c>
      <c r="K49" s="6" t="n">
        <v>231</v>
      </c>
      <c r="L49" s="6" t="n">
        <v>201</v>
      </c>
      <c r="M49" s="6" t="n">
        <v>0.92</v>
      </c>
      <c r="N49" s="6" t="n">
        <v>0.88</v>
      </c>
    </row>
    <row collapsed="false" customFormat="false" customHeight="false" hidden="false" ht="12.1" outlineLevel="0" r="50">
      <c r="A50" s="33" t="n">
        <v>45855</v>
      </c>
      <c r="B50" s="16" t="s">
        <v>1375</v>
      </c>
      <c r="C50" s="16" t="s">
        <v>53</v>
      </c>
      <c r="D50" s="16" t="s">
        <v>54</v>
      </c>
      <c r="E50" s="7" t="n">
        <v>100</v>
      </c>
      <c r="F50" s="16" t="s">
        <v>19</v>
      </c>
      <c r="G50" s="6" t="n">
        <v>8.5</v>
      </c>
      <c r="H50" s="6" t="n">
        <v>45.38</v>
      </c>
      <c r="I50" s="6" t="n">
        <v>33.42</v>
      </c>
      <c r="J50" s="6" t="n">
        <v>111</v>
      </c>
      <c r="K50" s="6" t="n">
        <v>850</v>
      </c>
      <c r="L50" s="6" t="n">
        <v>739</v>
      </c>
      <c r="M50" s="6" t="n">
        <v>22.11</v>
      </c>
      <c r="N50" s="6" t="n">
        <v>16.28</v>
      </c>
    </row>
    <row collapsed="false" customFormat="false" customHeight="false" hidden="false" ht="12.1" outlineLevel="0" r="51">
      <c r="A51" s="33" t="n">
        <v>45855</v>
      </c>
      <c r="B51" s="16" t="s">
        <v>1375</v>
      </c>
      <c r="C51" s="16" t="s">
        <v>71</v>
      </c>
      <c r="D51" s="16" t="s">
        <v>72</v>
      </c>
      <c r="E51" s="7" t="n">
        <v>100</v>
      </c>
      <c r="F51" s="16" t="s">
        <v>19</v>
      </c>
      <c r="G51" s="6" t="n">
        <v>0.9</v>
      </c>
      <c r="H51" s="6" t="n">
        <v>22.07</v>
      </c>
      <c r="I51" s="6" t="n">
        <v>22.33</v>
      </c>
      <c r="J51" s="6" t="n">
        <v>12</v>
      </c>
      <c r="K51" s="6" t="n">
        <v>90</v>
      </c>
      <c r="L51" s="6" t="n">
        <v>78</v>
      </c>
      <c r="M51" s="6" t="n">
        <v>3.49</v>
      </c>
      <c r="N51" s="6" t="n">
        <v>3.53</v>
      </c>
    </row>
    <row collapsed="false" customFormat="false" customHeight="false" hidden="false" ht="12.1" outlineLevel="0" r="52">
      <c r="A52" s="33" t="n">
        <v>45856</v>
      </c>
      <c r="B52" s="16" t="s">
        <v>1375</v>
      </c>
      <c r="C52" s="16" t="s">
        <v>59</v>
      </c>
      <c r="D52" s="16" t="s">
        <v>60</v>
      </c>
      <c r="E52" s="7" t="n">
        <v>60</v>
      </c>
      <c r="F52" s="16" t="s">
        <v>19</v>
      </c>
      <c r="G52" s="6" t="n">
        <v>5.27</v>
      </c>
      <c r="H52" s="6" t="n">
        <v>60.13</v>
      </c>
      <c r="I52" s="6" t="n">
        <v>41.19</v>
      </c>
      <c r="J52" s="6" t="n">
        <v>41</v>
      </c>
      <c r="K52" s="6" t="n">
        <v>316.2</v>
      </c>
      <c r="L52" s="6" t="n">
        <v>275.2</v>
      </c>
      <c r="M52" s="6" t="n">
        <v>11.13</v>
      </c>
      <c r="N52" s="6" t="n">
        <v>7.63</v>
      </c>
    </row>
    <row collapsed="false" customFormat="false" customHeight="false" hidden="false" ht="12.1" outlineLevel="0" r="53">
      <c r="A53" s="33" t="n">
        <v>45856</v>
      </c>
      <c r="B53" s="16" t="s">
        <v>1375</v>
      </c>
      <c r="C53" s="16" t="s">
        <v>30</v>
      </c>
      <c r="D53" s="16" t="s">
        <v>31</v>
      </c>
      <c r="E53" s="7" t="n">
        <v>30</v>
      </c>
      <c r="F53" s="16" t="s">
        <v>19</v>
      </c>
      <c r="G53" s="6" t="n">
        <v>34.84</v>
      </c>
      <c r="H53" s="6" t="n">
        <v>308.4</v>
      </c>
      <c r="I53" s="6" t="n">
        <v>205.89</v>
      </c>
      <c r="J53" s="6" t="n">
        <v>136</v>
      </c>
      <c r="K53" s="6" t="n">
        <v>1045.2</v>
      </c>
      <c r="L53" s="6" t="n">
        <v>909.2</v>
      </c>
      <c r="M53" s="6" t="n">
        <v>14.72</v>
      </c>
      <c r="N53" s="6" t="n">
        <v>9.83</v>
      </c>
    </row>
    <row collapsed="false" customFormat="false" customHeight="false" hidden="false" ht="12.1" outlineLevel="0" r="54">
      <c r="A54" s="33" t="n">
        <v>45856</v>
      </c>
      <c r="B54" s="16" t="s">
        <v>1375</v>
      </c>
      <c r="C54" s="16" t="s">
        <v>16</v>
      </c>
      <c r="D54" s="16" t="s">
        <v>18</v>
      </c>
      <c r="E54" s="7" t="n">
        <v>200</v>
      </c>
      <c r="F54" s="16" t="s">
        <v>19</v>
      </c>
      <c r="G54" s="6" t="n">
        <v>34.84</v>
      </c>
      <c r="H54" s="6" t="n">
        <v>309</v>
      </c>
      <c r="I54" s="6" t="n">
        <v>246.72</v>
      </c>
      <c r="J54" s="6" t="n">
        <v>906</v>
      </c>
      <c r="K54" s="6" t="n">
        <v>6968</v>
      </c>
      <c r="L54" s="6" t="n">
        <v>6062</v>
      </c>
      <c r="M54" s="6" t="n">
        <v>12.29</v>
      </c>
      <c r="N54" s="6" t="n">
        <v>9.81</v>
      </c>
    </row>
    <row collapsed="false" customFormat="false" customHeight="false" hidden="false" ht="12.1" outlineLevel="0" r="55">
      <c r="A55" s="33" t="n">
        <v>45882</v>
      </c>
      <c r="B55" s="16" t="s">
        <v>1375</v>
      </c>
      <c r="C55" s="16" t="s">
        <v>62</v>
      </c>
      <c r="D55" s="16" t="s">
        <v>63</v>
      </c>
      <c r="E55" s="7" t="n">
        <v>50</v>
      </c>
      <c r="F55" s="16" t="s">
        <v>19</v>
      </c>
      <c r="G55" s="6" t="n">
        <v>2.71</v>
      </c>
      <c r="H55" s="6" t="n">
        <v>69.5</v>
      </c>
      <c r="I55" s="6" t="n">
        <v>69.38</v>
      </c>
      <c r="J55" s="6" t="n">
        <v>18</v>
      </c>
      <c r="K55" s="6" t="n">
        <v>135.5</v>
      </c>
      <c r="L55" s="6" t="n">
        <v>117.5</v>
      </c>
      <c r="M55" s="6" t="n">
        <v>3.39</v>
      </c>
      <c r="N55" s="6" t="n">
        <v>3.38</v>
      </c>
    </row>
    <row collapsed="false" customFormat="false" customHeight="false" hidden="false" ht="12.1" outlineLevel="0" r="56">
      <c r="A56" s="33" t="n">
        <v>45929</v>
      </c>
      <c r="B56" s="16" t="s">
        <v>1375</v>
      </c>
      <c r="C56" s="16" t="s">
        <v>21</v>
      </c>
      <c r="D56" s="16" t="s">
        <v>22</v>
      </c>
      <c r="E56" s="7" t="n">
        <v>2</v>
      </c>
      <c r="F56" s="16" t="s">
        <v>19</v>
      </c>
      <c r="G56" s="6" t="n">
        <v>80</v>
      </c>
      <c r="H56" s="6" t="n">
        <v>3940</v>
      </c>
      <c r="I56" s="6" t="n">
        <v>4239.95</v>
      </c>
      <c r="J56" s="6" t="n">
        <v>21</v>
      </c>
      <c r="K56" s="6" t="n">
        <v>160</v>
      </c>
      <c r="L56" s="6" t="n">
        <v>139</v>
      </c>
      <c r="M56" s="6" t="n">
        <v>1.64</v>
      </c>
      <c r="N56" s="6" t="n">
        <v>1.76</v>
      </c>
    </row>
    <row collapsed="false" customFormat="false" customHeight="false" hidden="false" ht="12.1" outlineLevel="0" r="57">
      <c r="A57" s="33" t="n">
        <v>45936</v>
      </c>
      <c r="B57" s="16" t="s">
        <v>1375</v>
      </c>
      <c r="C57" s="16" t="s">
        <v>27</v>
      </c>
      <c r="D57" s="16" t="s">
        <v>28</v>
      </c>
      <c r="E57" s="7" t="n">
        <v>7</v>
      </c>
      <c r="F57" s="16" t="s">
        <v>19</v>
      </c>
      <c r="G57" s="6" t="n">
        <v>35</v>
      </c>
      <c r="H57" s="6" t="n">
        <v>3021.2</v>
      </c>
      <c r="I57" s="6" t="n">
        <v>3112.83</v>
      </c>
      <c r="J57" s="6" t="n">
        <v>32</v>
      </c>
      <c r="K57" s="6" t="n">
        <v>245</v>
      </c>
      <c r="L57" s="6" t="n">
        <v>213</v>
      </c>
      <c r="M57" s="6" t="n">
        <v>0.98</v>
      </c>
      <c r="N57" s="6" t="n">
        <v>1.01</v>
      </c>
    </row>
    <row collapsed="false" customFormat="false" customHeight="false" hidden="false" ht="12.1" outlineLevel="0" r="58">
      <c r="A58" s="33" t="n">
        <v>45936</v>
      </c>
      <c r="B58" s="16" t="s">
        <v>1375</v>
      </c>
      <c r="C58" s="16" t="s">
        <v>73</v>
      </c>
      <c r="D58" s="16" t="s">
        <v>74</v>
      </c>
      <c r="E58" s="7" t="n">
        <v>1</v>
      </c>
      <c r="F58" s="16" t="s">
        <v>19</v>
      </c>
      <c r="G58" s="6" t="n">
        <v>35.5</v>
      </c>
      <c r="H58" s="6" t="n">
        <v>1083.2</v>
      </c>
      <c r="I58" s="6" t="n">
        <v>1031.08</v>
      </c>
      <c r="J58" s="6" t="n">
        <v>5</v>
      </c>
      <c r="K58" s="6" t="n">
        <v>35.5</v>
      </c>
      <c r="L58" s="6" t="n">
        <v>30.5</v>
      </c>
      <c r="M58" s="6" t="n">
        <v>2.96</v>
      </c>
      <c r="N58" s="6" t="n">
        <v>2.82</v>
      </c>
    </row>
    <row collapsed="false" customFormat="false" customHeight="false" hidden="false" ht="12.1" outlineLevel="0" r="59">
      <c r="A59" s="33" t="n">
        <v>45936</v>
      </c>
      <c r="B59" s="16" t="s">
        <v>1375</v>
      </c>
      <c r="C59" s="16" t="s">
        <v>56</v>
      </c>
      <c r="D59" s="16" t="s">
        <v>57</v>
      </c>
      <c r="E59" s="7" t="n">
        <v>10</v>
      </c>
      <c r="F59" s="16" t="s">
        <v>19</v>
      </c>
      <c r="G59" s="6" t="n">
        <v>16.61</v>
      </c>
      <c r="H59" s="6" t="n">
        <v>326.96</v>
      </c>
      <c r="I59" s="6" t="n">
        <v>307.03</v>
      </c>
      <c r="J59" s="6" t="n">
        <v>22</v>
      </c>
      <c r="K59" s="6" t="n">
        <v>166.1</v>
      </c>
      <c r="L59" s="6" t="n">
        <v>144.1</v>
      </c>
      <c r="M59" s="6" t="n">
        <v>4.69</v>
      </c>
      <c r="N59" s="6" t="n">
        <v>4.41</v>
      </c>
    </row>
    <row collapsed="false" customFormat="false" customHeight="false" hidden="false" ht="12.1" outlineLevel="0" r="60">
      <c r="A60" s="33" t="n">
        <v>45943</v>
      </c>
      <c r="B60" s="16" t="s">
        <v>1375</v>
      </c>
      <c r="C60" s="16" t="s">
        <v>24</v>
      </c>
      <c r="D60" s="16" t="s">
        <v>25</v>
      </c>
      <c r="E60" s="7" t="n">
        <v>10</v>
      </c>
      <c r="F60" s="16" t="s">
        <v>19</v>
      </c>
      <c r="G60" s="6" t="n">
        <v>70.85</v>
      </c>
      <c r="H60" s="6" t="n">
        <v>2223.6</v>
      </c>
      <c r="I60" s="6" t="n">
        <v>921.51</v>
      </c>
      <c r="J60" s="6" t="n">
        <v>92</v>
      </c>
      <c r="K60" s="6" t="n">
        <v>708.5</v>
      </c>
      <c r="L60" s="6" t="n">
        <v>616.5</v>
      </c>
      <c r="M60" s="6" t="n">
        <v>6.69</v>
      </c>
      <c r="N60" s="6" t="n">
        <v>2.77</v>
      </c>
    </row>
    <row collapsed="false" customFormat="false" customHeight="false" hidden="false" ht="12.1" outlineLevel="0" r="61">
      <c r="A61" s="33" t="n">
        <v>45944</v>
      </c>
      <c r="B61" s="16" t="s">
        <v>1375</v>
      </c>
      <c r="C61" s="16" t="s">
        <v>39</v>
      </c>
      <c r="D61" s="16" t="s">
        <v>40</v>
      </c>
      <c r="E61" s="7" t="n">
        <v>10</v>
      </c>
      <c r="F61" s="16" t="s">
        <v>19</v>
      </c>
      <c r="G61" s="6" t="n">
        <v>14.35</v>
      </c>
      <c r="H61" s="6" t="n">
        <v>557.5</v>
      </c>
      <c r="I61" s="6" t="n">
        <v>557.39</v>
      </c>
      <c r="J61" s="6" t="n">
        <v>19</v>
      </c>
      <c r="K61" s="6" t="n">
        <v>143.5</v>
      </c>
      <c r="L61" s="6" t="n">
        <v>124.5</v>
      </c>
      <c r="M61" s="6" t="n">
        <v>2.23</v>
      </c>
      <c r="N61" s="6" t="n">
        <v>2.23</v>
      </c>
    </row>
    <row collapsed="false" customFormat="false" customHeight="false" hidden="false" ht="12.1" outlineLevel="0" r="62">
      <c r="A62" s="33" t="n">
        <v>46013</v>
      </c>
      <c r="B62" s="16" t="s">
        <v>1375</v>
      </c>
      <c r="C62" s="16" t="s">
        <v>24</v>
      </c>
      <c r="D62" s="16" t="s">
        <v>25</v>
      </c>
      <c r="E62" s="7" t="n">
        <v>10</v>
      </c>
      <c r="F62" s="16" t="s">
        <v>19</v>
      </c>
      <c r="G62" s="6" t="n">
        <v>36</v>
      </c>
      <c r="H62" s="6" t="n">
        <v>2286.8</v>
      </c>
      <c r="I62" s="6" t="n">
        <v>921.51</v>
      </c>
      <c r="J62" s="6" t="n">
        <v>47</v>
      </c>
      <c r="K62" s="6" t="n">
        <v>360</v>
      </c>
      <c r="L62" s="6" t="n">
        <v>313</v>
      </c>
      <c r="M62" s="6" t="n">
        <v>3.4</v>
      </c>
      <c r="N62" s="6" t="n">
        <v>1.37</v>
      </c>
    </row>
    <row collapsed="false" customFormat="false" customHeight="false" hidden="false" ht="12.1" outlineLevel="0" r="63">
      <c r="A63" s="33" t="n">
        <v>46030</v>
      </c>
      <c r="B63" s="16" t="s">
        <v>1375</v>
      </c>
      <c r="C63" s="16" t="s">
        <v>27</v>
      </c>
      <c r="D63" s="16" t="s">
        <v>28</v>
      </c>
      <c r="E63" s="7" t="n">
        <v>7</v>
      </c>
      <c r="F63" s="16" t="s">
        <v>19</v>
      </c>
      <c r="G63" s="6" t="n">
        <v>36</v>
      </c>
      <c r="H63" s="6" t="n">
        <v>3236.2</v>
      </c>
      <c r="I63" s="6" t="n">
        <v>3112.83</v>
      </c>
      <c r="J63" s="6" t="n">
        <v>33</v>
      </c>
      <c r="K63" s="6" t="n">
        <v>252</v>
      </c>
      <c r="L63" s="6" t="n">
        <v>219</v>
      </c>
      <c r="M63" s="6" t="n">
        <v>1.01</v>
      </c>
      <c r="N63" s="6" t="n">
        <v>0.97</v>
      </c>
    </row>
    <row collapsed="false" customFormat="false" customHeight="false" hidden="false" ht="12.1" outlineLevel="0" r="64">
      <c r="A64" s="33" t="n">
        <v>46033</v>
      </c>
      <c r="B64" s="16" t="s">
        <v>1375</v>
      </c>
      <c r="C64" s="16" t="s">
        <v>39</v>
      </c>
      <c r="D64" s="16" t="s">
        <v>40</v>
      </c>
      <c r="E64" s="7" t="n">
        <v>10</v>
      </c>
      <c r="F64" s="16" t="s">
        <v>19</v>
      </c>
      <c r="G64" s="6" t="n">
        <v>8.13</v>
      </c>
      <c r="H64" s="6" t="n">
        <v>562.4</v>
      </c>
      <c r="I64" s="6" t="n">
        <v>557.39</v>
      </c>
      <c r="J64" s="6" t="n">
        <v>11</v>
      </c>
      <c r="K64" s="6" t="n">
        <v>81.3</v>
      </c>
      <c r="L64" s="6" t="n">
        <v>70.3</v>
      </c>
      <c r="M64" s="6" t="n">
        <v>1.26</v>
      </c>
      <c r="N64" s="6" t="n">
        <v>1.25</v>
      </c>
    </row>
  </sheetData>
  <autoFilter ref="A1:N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342</v>
      </c>
      <c r="B1" s="34" t="s">
        <v>1365</v>
      </c>
      <c r="C1" s="34" t="s">
        <v>0</v>
      </c>
      <c r="D1" s="34" t="s">
        <v>2</v>
      </c>
      <c r="E1" s="34" t="s">
        <v>6</v>
      </c>
      <c r="F1" s="34" t="s">
        <v>1366</v>
      </c>
      <c r="G1" s="34" t="s">
        <v>1379</v>
      </c>
      <c r="H1" s="34" t="s">
        <v>1370</v>
      </c>
      <c r="I1" s="34" t="s">
        <v>1371</v>
      </c>
      <c r="J1" s="34" t="s">
        <v>1372</v>
      </c>
    </row>
    <row collapsed="false" customFormat="false" customHeight="false" hidden="false" ht="12.1" outlineLevel="0" r="2">
      <c r="A2" s="35" t="n">
        <v>44705</v>
      </c>
      <c r="B2" s="16" t="s">
        <v>1375</v>
      </c>
      <c r="C2" s="16" t="s">
        <v>917</v>
      </c>
      <c r="D2" s="16" t="s">
        <v>1380</v>
      </c>
      <c r="E2" s="6" t="n">
        <v>750</v>
      </c>
      <c r="F2" s="7" t="n">
        <v>1</v>
      </c>
      <c r="G2" s="6" t="n">
        <v>16.08</v>
      </c>
      <c r="H2" s="6" t="n">
        <v>2</v>
      </c>
      <c r="I2" s="6" t="n">
        <v>16.08</v>
      </c>
      <c r="J2" s="6" t="n">
        <v>14.08</v>
      </c>
    </row>
    <row collapsed="false" customFormat="false" customHeight="false" hidden="false" ht="12.1" outlineLevel="0" r="3">
      <c r="A3" s="35" t="n">
        <v>44748</v>
      </c>
      <c r="B3" s="16" t="s">
        <v>1375</v>
      </c>
      <c r="C3" s="16" t="s">
        <v>918</v>
      </c>
      <c r="D3" s="16" t="s">
        <v>1381</v>
      </c>
      <c r="E3" s="6" t="n">
        <v>800</v>
      </c>
      <c r="F3" s="7" t="n">
        <v>1</v>
      </c>
      <c r="G3" s="6" t="n">
        <v>27.92</v>
      </c>
      <c r="H3" s="6" t="n">
        <v>4</v>
      </c>
      <c r="I3" s="6" t="n">
        <v>27.92</v>
      </c>
      <c r="J3" s="6" t="n">
        <v>23.92</v>
      </c>
    </row>
    <row collapsed="false" customFormat="false" customHeight="false" hidden="false" ht="12.1" outlineLevel="0" r="4">
      <c r="A4" s="35" t="n">
        <v>44768</v>
      </c>
      <c r="B4" s="16" t="s">
        <v>1375</v>
      </c>
      <c r="C4" s="16" t="s">
        <v>915</v>
      </c>
      <c r="D4" s="16" t="s">
        <v>1382</v>
      </c>
      <c r="E4" s="6" t="n">
        <v>1000</v>
      </c>
      <c r="F4" s="7" t="n">
        <v>1</v>
      </c>
      <c r="G4" s="6" t="n">
        <v>29.03</v>
      </c>
      <c r="H4" s="6" t="n">
        <v>4</v>
      </c>
      <c r="I4" s="6" t="n">
        <v>29.03</v>
      </c>
      <c r="J4" s="6" t="n">
        <v>25.03</v>
      </c>
    </row>
    <row collapsed="false" customFormat="false" customHeight="false" hidden="false" ht="12.1" outlineLevel="0" r="5">
      <c r="A5" s="35" t="n">
        <v>44775</v>
      </c>
      <c r="B5" s="16" t="s">
        <v>1375</v>
      </c>
      <c r="C5" s="16" t="s">
        <v>84</v>
      </c>
      <c r="D5" s="16" t="s">
        <v>86</v>
      </c>
      <c r="E5" s="6" t="n">
        <v>1000</v>
      </c>
      <c r="F5" s="7" t="n">
        <v>1</v>
      </c>
      <c r="G5" s="6" t="n">
        <v>30.42</v>
      </c>
      <c r="H5" s="6" t="n">
        <v>4</v>
      </c>
      <c r="I5" s="6" t="n">
        <v>30.42</v>
      </c>
      <c r="J5" s="6" t="n">
        <v>26.42</v>
      </c>
    </row>
    <row collapsed="false" customFormat="false" customHeight="false" hidden="false" ht="12.1" outlineLevel="0" r="6">
      <c r="A6" s="35" t="n">
        <v>44796</v>
      </c>
      <c r="B6" s="16" t="s">
        <v>1375</v>
      </c>
      <c r="C6" s="16" t="s">
        <v>917</v>
      </c>
      <c r="D6" s="16" t="s">
        <v>1380</v>
      </c>
      <c r="E6" s="6" t="n">
        <v>750</v>
      </c>
      <c r="F6" s="7" t="n">
        <v>1</v>
      </c>
      <c r="G6" s="6" t="n">
        <v>16.08</v>
      </c>
      <c r="H6" s="6" t="n">
        <v>2</v>
      </c>
      <c r="I6" s="6" t="n">
        <v>16.08</v>
      </c>
      <c r="J6" s="6" t="n">
        <v>14.08</v>
      </c>
    </row>
    <row collapsed="false" customFormat="false" customHeight="false" hidden="false" ht="12.1" outlineLevel="0" r="7">
      <c r="A7" s="35" t="n">
        <v>44824</v>
      </c>
      <c r="B7" s="16" t="s">
        <v>1375</v>
      </c>
      <c r="C7" s="16" t="s">
        <v>103</v>
      </c>
      <c r="D7" s="16" t="s">
        <v>104</v>
      </c>
      <c r="E7" s="6" t="n">
        <v>1000</v>
      </c>
      <c r="F7" s="7" t="n">
        <v>1</v>
      </c>
      <c r="G7" s="6" t="n">
        <v>29.42</v>
      </c>
      <c r="H7" s="6" t="n">
        <v>4</v>
      </c>
      <c r="I7" s="6" t="n">
        <v>29.42</v>
      </c>
      <c r="J7" s="6" t="n">
        <v>25.42</v>
      </c>
    </row>
    <row collapsed="false" customFormat="false" customHeight="false" hidden="false" ht="12.1" outlineLevel="0" r="8">
      <c r="A8" s="35" t="n">
        <v>44839</v>
      </c>
      <c r="B8" s="16" t="s">
        <v>1375</v>
      </c>
      <c r="C8" s="16" t="s">
        <v>918</v>
      </c>
      <c r="D8" s="16" t="s">
        <v>1381</v>
      </c>
      <c r="E8" s="6" t="n">
        <v>600</v>
      </c>
      <c r="F8" s="7" t="n">
        <v>1</v>
      </c>
      <c r="G8" s="6" t="n">
        <v>20.94</v>
      </c>
      <c r="H8" s="6" t="n">
        <v>3</v>
      </c>
      <c r="I8" s="6" t="n">
        <v>20.94</v>
      </c>
      <c r="J8" s="6" t="n">
        <v>17.94</v>
      </c>
    </row>
    <row collapsed="false" customFormat="false" customHeight="false" hidden="false" ht="12.1" outlineLevel="0" r="9">
      <c r="A9" s="35" t="n">
        <v>44859</v>
      </c>
      <c r="B9" s="16" t="s">
        <v>1375</v>
      </c>
      <c r="C9" s="16" t="s">
        <v>915</v>
      </c>
      <c r="D9" s="16" t="s">
        <v>1382</v>
      </c>
      <c r="E9" s="6" t="n">
        <v>1000</v>
      </c>
      <c r="F9" s="7" t="n">
        <v>1</v>
      </c>
      <c r="G9" s="6" t="n">
        <v>19.69</v>
      </c>
      <c r="H9" s="6" t="n">
        <v>3</v>
      </c>
      <c r="I9" s="6" t="n">
        <v>19.69</v>
      </c>
      <c r="J9" s="6" t="n">
        <v>16.69</v>
      </c>
    </row>
    <row collapsed="false" customFormat="false" customHeight="false" hidden="false" ht="12.1" outlineLevel="0" r="10">
      <c r="A10" s="35" t="n">
        <v>44867</v>
      </c>
      <c r="B10" s="16" t="s">
        <v>1375</v>
      </c>
      <c r="C10" s="16" t="s">
        <v>916</v>
      </c>
      <c r="D10" s="16" t="s">
        <v>1383</v>
      </c>
      <c r="E10" s="6" t="n">
        <v>1000</v>
      </c>
      <c r="F10" s="7" t="n">
        <v>1</v>
      </c>
      <c r="G10" s="6" t="n">
        <v>42.38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5" t="n">
        <v>44880</v>
      </c>
      <c r="B11" s="16" t="s">
        <v>1375</v>
      </c>
      <c r="C11" s="16" t="s">
        <v>109</v>
      </c>
      <c r="D11" s="16" t="s">
        <v>110</v>
      </c>
      <c r="E11" s="6" t="n">
        <v>1000</v>
      </c>
      <c r="F11" s="7" t="n">
        <v>1</v>
      </c>
      <c r="G11" s="6" t="n">
        <v>68.71</v>
      </c>
      <c r="H11" s="6" t="n">
        <v>9</v>
      </c>
      <c r="I11" s="6" t="n">
        <v>68.71</v>
      </c>
      <c r="J11" s="6" t="n">
        <v>59.71</v>
      </c>
    </row>
    <row collapsed="false" customFormat="false" customHeight="false" hidden="false" ht="12.1" outlineLevel="0" r="12">
      <c r="A12" s="35" t="n">
        <v>44887</v>
      </c>
      <c r="B12" s="16" t="s">
        <v>1375</v>
      </c>
      <c r="C12" s="16" t="s">
        <v>136</v>
      </c>
      <c r="D12" s="16" t="s">
        <v>137</v>
      </c>
      <c r="E12" s="6" t="n">
        <v>1000</v>
      </c>
      <c r="F12" s="7" t="n">
        <v>2</v>
      </c>
      <c r="G12" s="6" t="n">
        <v>36.15</v>
      </c>
      <c r="H12" s="6" t="n">
        <v>9</v>
      </c>
      <c r="I12" s="6" t="n">
        <v>72.3</v>
      </c>
      <c r="J12" s="6" t="n">
        <v>63.3</v>
      </c>
    </row>
    <row collapsed="false" customFormat="false" customHeight="false" hidden="false" ht="12.1" outlineLevel="0" r="13">
      <c r="A13" s="35" t="n">
        <v>44887</v>
      </c>
      <c r="B13" s="16" t="s">
        <v>1375</v>
      </c>
      <c r="C13" s="16" t="s">
        <v>917</v>
      </c>
      <c r="D13" s="16" t="s">
        <v>1380</v>
      </c>
      <c r="E13" s="6" t="n">
        <v>750</v>
      </c>
      <c r="F13" s="7" t="n">
        <v>1</v>
      </c>
      <c r="G13" s="6" t="n">
        <v>16.08</v>
      </c>
      <c r="H13" s="6" t="n">
        <v>2</v>
      </c>
      <c r="I13" s="6" t="n">
        <v>16.08</v>
      </c>
      <c r="J13" s="6" t="n">
        <v>14.08</v>
      </c>
    </row>
    <row collapsed="false" customFormat="false" customHeight="false" hidden="false" ht="12.1" outlineLevel="0" r="14">
      <c r="A14" s="35" t="n">
        <v>44896</v>
      </c>
      <c r="B14" s="16" t="s">
        <v>1375</v>
      </c>
      <c r="C14" s="16" t="s">
        <v>260</v>
      </c>
      <c r="D14" s="16" t="s">
        <v>261</v>
      </c>
      <c r="E14" s="6" t="n">
        <v>1000</v>
      </c>
      <c r="F14" s="7" t="n">
        <v>1</v>
      </c>
      <c r="G14" s="6" t="n">
        <v>24.81</v>
      </c>
      <c r="H14" s="6" t="n">
        <v>3</v>
      </c>
      <c r="I14" s="6" t="n">
        <v>24.81</v>
      </c>
      <c r="J14" s="6" t="n">
        <v>21.81</v>
      </c>
    </row>
    <row collapsed="false" customFormat="false" customHeight="false" hidden="false" ht="12.1" outlineLevel="0" r="15">
      <c r="A15" s="35" t="n">
        <v>44901</v>
      </c>
      <c r="B15" s="16" t="s">
        <v>1375</v>
      </c>
      <c r="C15" s="16" t="s">
        <v>329</v>
      </c>
      <c r="D15" s="16" t="s">
        <v>330</v>
      </c>
      <c r="E15" s="6" t="n">
        <v>1000</v>
      </c>
      <c r="F15" s="7" t="n">
        <v>1</v>
      </c>
      <c r="G15" s="6" t="n">
        <v>19.87</v>
      </c>
      <c r="H15" s="6" t="n">
        <v>3</v>
      </c>
      <c r="I15" s="6" t="n">
        <v>19.87</v>
      </c>
      <c r="J15" s="6" t="n">
        <v>16.87</v>
      </c>
    </row>
    <row collapsed="false" customFormat="false" customHeight="false" hidden="false" ht="12.1" outlineLevel="0" r="16">
      <c r="A16" s="35" t="n">
        <v>44915</v>
      </c>
      <c r="B16" s="16" t="s">
        <v>1375</v>
      </c>
      <c r="C16" s="16" t="s">
        <v>88</v>
      </c>
      <c r="D16" s="16" t="s">
        <v>89</v>
      </c>
      <c r="E16" s="6" t="n">
        <v>1000</v>
      </c>
      <c r="F16" s="7" t="n">
        <v>2</v>
      </c>
      <c r="G16" s="6" t="n">
        <v>72.95</v>
      </c>
      <c r="H16" s="6" t="n">
        <v>19</v>
      </c>
      <c r="I16" s="6" t="n">
        <v>145.9</v>
      </c>
      <c r="J16" s="6" t="n">
        <v>126.9</v>
      </c>
    </row>
    <row collapsed="false" customFormat="false" customHeight="false" hidden="false" ht="12.1" outlineLevel="0" r="17">
      <c r="A17" s="35" t="n">
        <v>44930</v>
      </c>
      <c r="B17" s="16" t="s">
        <v>1375</v>
      </c>
      <c r="C17" s="16" t="s">
        <v>918</v>
      </c>
      <c r="D17" s="16" t="s">
        <v>1381</v>
      </c>
      <c r="E17" s="6" t="n">
        <v>600</v>
      </c>
      <c r="F17" s="7" t="n">
        <v>1</v>
      </c>
      <c r="G17" s="6" t="n">
        <v>20.94</v>
      </c>
      <c r="H17" s="6" t="n">
        <v>3</v>
      </c>
      <c r="I17" s="6" t="n">
        <v>20.94</v>
      </c>
      <c r="J17" s="6" t="n">
        <v>17.94</v>
      </c>
    </row>
    <row collapsed="false" customFormat="false" customHeight="false" hidden="false" ht="12.1" outlineLevel="0" r="18">
      <c r="A18" s="35" t="n">
        <v>44950</v>
      </c>
      <c r="B18" s="16" t="s">
        <v>1375</v>
      </c>
      <c r="C18" s="16" t="s">
        <v>915</v>
      </c>
      <c r="D18" s="16" t="s">
        <v>1382</v>
      </c>
      <c r="E18" s="6" t="n">
        <v>1000</v>
      </c>
      <c r="F18" s="7" t="n">
        <v>1</v>
      </c>
      <c r="G18" s="6" t="n">
        <v>18.31</v>
      </c>
      <c r="H18" s="6" t="n">
        <v>2</v>
      </c>
      <c r="I18" s="6" t="n">
        <v>18.31</v>
      </c>
      <c r="J18" s="6" t="n">
        <v>16.31</v>
      </c>
    </row>
    <row collapsed="false" customFormat="false" customHeight="false" hidden="false" ht="12.1" outlineLevel="0" r="19">
      <c r="A19" s="35" t="n">
        <v>44956</v>
      </c>
      <c r="B19" s="16" t="s">
        <v>1375</v>
      </c>
      <c r="C19" s="16" t="s">
        <v>290</v>
      </c>
      <c r="D19" s="16" t="s">
        <v>291</v>
      </c>
      <c r="E19" s="6" t="n">
        <v>1000</v>
      </c>
      <c r="F19" s="7" t="n">
        <v>1</v>
      </c>
      <c r="G19" s="6" t="n">
        <v>28.22</v>
      </c>
      <c r="H19" s="6" t="n">
        <v>4</v>
      </c>
      <c r="I19" s="6" t="n">
        <v>28.22</v>
      </c>
      <c r="J19" s="6" t="n">
        <v>24.22</v>
      </c>
    </row>
    <row collapsed="false" customFormat="false" customHeight="false" hidden="false" ht="12.1" outlineLevel="0" r="20">
      <c r="A20" s="35" t="n">
        <v>44957</v>
      </c>
      <c r="B20" s="16" t="s">
        <v>1375</v>
      </c>
      <c r="C20" s="16" t="s">
        <v>922</v>
      </c>
      <c r="D20" s="16" t="s">
        <v>1384</v>
      </c>
      <c r="E20" s="6" t="n">
        <v>1000</v>
      </c>
      <c r="F20" s="7" t="n">
        <v>1</v>
      </c>
      <c r="G20" s="6" t="n">
        <v>71.9</v>
      </c>
      <c r="H20" s="6" t="n">
        <v>9</v>
      </c>
      <c r="I20" s="6" t="n">
        <v>71.9</v>
      </c>
      <c r="J20" s="6" t="n">
        <v>62.9</v>
      </c>
    </row>
    <row collapsed="false" customFormat="false" customHeight="false" hidden="false" ht="12.1" outlineLevel="0" r="21">
      <c r="A21" s="35" t="n">
        <v>44957</v>
      </c>
      <c r="B21" s="16" t="s">
        <v>1375</v>
      </c>
      <c r="C21" s="16" t="s">
        <v>84</v>
      </c>
      <c r="D21" s="16" t="s">
        <v>86</v>
      </c>
      <c r="E21" s="6" t="n">
        <v>1000</v>
      </c>
      <c r="F21" s="7" t="n">
        <v>2</v>
      </c>
      <c r="G21" s="6" t="n">
        <v>30.42</v>
      </c>
      <c r="H21" s="6" t="n">
        <v>8</v>
      </c>
      <c r="I21" s="6" t="n">
        <v>60.84</v>
      </c>
      <c r="J21" s="6" t="n">
        <v>52.84</v>
      </c>
    </row>
    <row collapsed="false" customFormat="false" customHeight="false" hidden="false" ht="12.1" outlineLevel="0" r="22">
      <c r="A22" s="35" t="n">
        <v>44960</v>
      </c>
      <c r="B22" s="16" t="s">
        <v>1375</v>
      </c>
      <c r="C22" s="16" t="s">
        <v>311</v>
      </c>
      <c r="D22" s="16" t="s">
        <v>312</v>
      </c>
      <c r="E22" s="6" t="n">
        <v>1000</v>
      </c>
      <c r="F22" s="7" t="n">
        <v>1</v>
      </c>
      <c r="G22" s="6" t="n">
        <v>61.86</v>
      </c>
      <c r="H22" s="6" t="n">
        <v>8</v>
      </c>
      <c r="I22" s="6" t="n">
        <v>61.86</v>
      </c>
      <c r="J22" s="6" t="n">
        <v>53.86</v>
      </c>
    </row>
    <row collapsed="false" customFormat="false" customHeight="false" hidden="false" ht="12.1" outlineLevel="0" r="23">
      <c r="A23" s="35" t="n">
        <v>44971</v>
      </c>
      <c r="B23" s="16" t="s">
        <v>1375</v>
      </c>
      <c r="C23" s="16" t="s">
        <v>112</v>
      </c>
      <c r="D23" s="16" t="s">
        <v>113</v>
      </c>
      <c r="E23" s="6" t="n">
        <v>1000</v>
      </c>
      <c r="F23" s="7" t="n">
        <v>2</v>
      </c>
      <c r="G23" s="6" t="n">
        <v>34.9</v>
      </c>
      <c r="H23" s="6" t="n">
        <v>9</v>
      </c>
      <c r="I23" s="6" t="n">
        <v>69.8</v>
      </c>
      <c r="J23" s="6" t="n">
        <v>60.8</v>
      </c>
    </row>
    <row collapsed="false" customFormat="false" customHeight="false" hidden="false" ht="12.1" outlineLevel="0" r="24">
      <c r="A24" s="35" t="n">
        <v>44978</v>
      </c>
      <c r="B24" s="16" t="s">
        <v>1375</v>
      </c>
      <c r="C24" s="16" t="s">
        <v>917</v>
      </c>
      <c r="D24" s="16" t="s">
        <v>1380</v>
      </c>
      <c r="E24" s="6" t="n">
        <v>500</v>
      </c>
      <c r="F24" s="7" t="n">
        <v>1</v>
      </c>
      <c r="G24" s="6" t="n">
        <v>10.72</v>
      </c>
      <c r="H24" s="6" t="n">
        <v>1</v>
      </c>
      <c r="I24" s="6" t="n">
        <v>10.72</v>
      </c>
      <c r="J24" s="6" t="n">
        <v>9.72</v>
      </c>
    </row>
    <row collapsed="false" customFormat="false" customHeight="false" hidden="false" ht="12.1" outlineLevel="0" r="25">
      <c r="A25" s="35" t="n">
        <v>44987</v>
      </c>
      <c r="B25" s="16" t="s">
        <v>1375</v>
      </c>
      <c r="C25" s="16" t="s">
        <v>260</v>
      </c>
      <c r="D25" s="16" t="s">
        <v>261</v>
      </c>
      <c r="E25" s="6" t="n">
        <v>1000</v>
      </c>
      <c r="F25" s="7" t="n">
        <v>1</v>
      </c>
      <c r="G25" s="6" t="n">
        <v>24.81</v>
      </c>
      <c r="H25" s="6" t="n">
        <v>3</v>
      </c>
      <c r="I25" s="6" t="n">
        <v>24.81</v>
      </c>
      <c r="J25" s="6" t="n">
        <v>21.81</v>
      </c>
    </row>
    <row collapsed="false" customFormat="false" customHeight="false" hidden="false" ht="12.1" outlineLevel="0" r="26">
      <c r="A26" s="35" t="n">
        <v>44992</v>
      </c>
      <c r="B26" s="16" t="s">
        <v>1375</v>
      </c>
      <c r="C26" s="16" t="s">
        <v>240</v>
      </c>
      <c r="D26" s="16" t="s">
        <v>241</v>
      </c>
      <c r="E26" s="6" t="n">
        <v>1000</v>
      </c>
      <c r="F26" s="7" t="n">
        <v>1</v>
      </c>
      <c r="G26" s="6" t="n">
        <v>69.51</v>
      </c>
      <c r="H26" s="6" t="n">
        <v>9</v>
      </c>
      <c r="I26" s="6" t="n">
        <v>69.51</v>
      </c>
      <c r="J26" s="6" t="n">
        <v>60.51</v>
      </c>
    </row>
    <row collapsed="false" customFormat="false" customHeight="false" hidden="false" ht="12.1" outlineLevel="0" r="27">
      <c r="A27" s="35" t="n">
        <v>44992</v>
      </c>
      <c r="B27" s="16" t="s">
        <v>1375</v>
      </c>
      <c r="C27" s="16" t="s">
        <v>329</v>
      </c>
      <c r="D27" s="16" t="s">
        <v>330</v>
      </c>
      <c r="E27" s="6" t="n">
        <v>1000</v>
      </c>
      <c r="F27" s="7" t="n">
        <v>1</v>
      </c>
      <c r="G27" s="6" t="n">
        <v>19.87</v>
      </c>
      <c r="H27" s="6" t="n">
        <v>3</v>
      </c>
      <c r="I27" s="6" t="n">
        <v>19.87</v>
      </c>
      <c r="J27" s="6" t="n">
        <v>16.87</v>
      </c>
    </row>
    <row collapsed="false" customFormat="false" customHeight="false" hidden="false" ht="12.1" outlineLevel="0" r="28">
      <c r="A28" s="35" t="n">
        <v>45005</v>
      </c>
      <c r="B28" s="16" t="s">
        <v>1375</v>
      </c>
      <c r="C28" s="16" t="s">
        <v>275</v>
      </c>
      <c r="D28" s="16" t="s">
        <v>276</v>
      </c>
      <c r="E28" s="6" t="n">
        <v>1000</v>
      </c>
      <c r="F28" s="7" t="n">
        <v>1</v>
      </c>
      <c r="G28" s="6" t="n">
        <v>39.39</v>
      </c>
      <c r="H28" s="6" t="n">
        <v>5</v>
      </c>
      <c r="I28" s="6" t="n">
        <v>39.39</v>
      </c>
      <c r="J28" s="6" t="n">
        <v>34.39</v>
      </c>
    </row>
    <row collapsed="false" customFormat="false" customHeight="false" hidden="false" ht="12.1" outlineLevel="0" r="29">
      <c r="A29" s="35" t="n">
        <v>45006</v>
      </c>
      <c r="B29" s="16" t="s">
        <v>1375</v>
      </c>
      <c r="C29" s="16" t="s">
        <v>103</v>
      </c>
      <c r="D29" s="16" t="s">
        <v>104</v>
      </c>
      <c r="E29" s="6" t="n">
        <v>1000</v>
      </c>
      <c r="F29" s="7" t="n">
        <v>2</v>
      </c>
      <c r="G29" s="6" t="n">
        <v>29.42</v>
      </c>
      <c r="H29" s="6" t="n">
        <v>8</v>
      </c>
      <c r="I29" s="6" t="n">
        <v>58.84</v>
      </c>
      <c r="J29" s="6" t="n">
        <v>50.84</v>
      </c>
    </row>
    <row collapsed="false" customFormat="false" customHeight="false" hidden="false" ht="12.1" outlineLevel="0" r="30">
      <c r="A30" s="35" t="n">
        <v>45013</v>
      </c>
      <c r="B30" s="16" t="s">
        <v>1375</v>
      </c>
      <c r="C30" s="16" t="s">
        <v>157</v>
      </c>
      <c r="D30" s="16" t="s">
        <v>158</v>
      </c>
      <c r="E30" s="6" t="n">
        <v>1448.61</v>
      </c>
      <c r="F30" s="7" t="n">
        <v>1</v>
      </c>
      <c r="G30" s="6" t="n">
        <v>14.58</v>
      </c>
      <c r="H30" s="6" t="n">
        <v>2</v>
      </c>
      <c r="I30" s="6" t="n">
        <v>14.58</v>
      </c>
      <c r="J30" s="6" t="n">
        <v>12.58</v>
      </c>
    </row>
    <row collapsed="false" customFormat="false" customHeight="false" hidden="false" ht="12.1" outlineLevel="0" r="31">
      <c r="A31" s="35" t="n">
        <v>45020</v>
      </c>
      <c r="B31" s="16" t="s">
        <v>1375</v>
      </c>
      <c r="C31" s="16" t="s">
        <v>106</v>
      </c>
      <c r="D31" s="16" t="s">
        <v>107</v>
      </c>
      <c r="E31" s="6" t="n">
        <v>1000</v>
      </c>
      <c r="F31" s="7" t="n">
        <v>3</v>
      </c>
      <c r="G31" s="6" t="n">
        <v>38.39</v>
      </c>
      <c r="H31" s="6" t="n">
        <v>15</v>
      </c>
      <c r="I31" s="6" t="n">
        <v>115.17</v>
      </c>
      <c r="J31" s="6" t="n">
        <v>100.17</v>
      </c>
    </row>
    <row collapsed="false" customFormat="false" customHeight="false" hidden="false" ht="12.1" outlineLevel="0" r="32">
      <c r="A32" s="35" t="n">
        <v>45020</v>
      </c>
      <c r="B32" s="16" t="s">
        <v>1375</v>
      </c>
      <c r="C32" s="16" t="s">
        <v>127</v>
      </c>
      <c r="D32" s="16" t="s">
        <v>128</v>
      </c>
      <c r="E32" s="6" t="n">
        <v>1000</v>
      </c>
      <c r="F32" s="7" t="n">
        <v>1</v>
      </c>
      <c r="G32" s="6" t="n">
        <v>38.39</v>
      </c>
      <c r="H32" s="6" t="n">
        <v>5</v>
      </c>
      <c r="I32" s="6" t="n">
        <v>38.39</v>
      </c>
      <c r="J32" s="6" t="n">
        <v>33.39</v>
      </c>
    </row>
    <row collapsed="false" customFormat="false" customHeight="false" hidden="false" ht="12.1" outlineLevel="0" r="33">
      <c r="A33" s="35" t="n">
        <v>45021</v>
      </c>
      <c r="B33" s="16" t="s">
        <v>1375</v>
      </c>
      <c r="C33" s="16" t="s">
        <v>918</v>
      </c>
      <c r="D33" s="16" t="s">
        <v>1381</v>
      </c>
      <c r="E33" s="6" t="n">
        <v>600</v>
      </c>
      <c r="F33" s="7" t="n">
        <v>1</v>
      </c>
      <c r="G33" s="6" t="n">
        <v>20.94</v>
      </c>
      <c r="H33" s="6" t="n">
        <v>3</v>
      </c>
      <c r="I33" s="6" t="n">
        <v>20.94</v>
      </c>
      <c r="J33" s="6" t="n">
        <v>17.94</v>
      </c>
    </row>
    <row collapsed="false" customFormat="false" customHeight="false" hidden="false" ht="12.1" outlineLevel="0" r="34">
      <c r="A34" s="35" t="n">
        <v>45027</v>
      </c>
      <c r="B34" s="16" t="s">
        <v>1375</v>
      </c>
      <c r="C34" s="16" t="s">
        <v>142</v>
      </c>
      <c r="D34" s="16" t="s">
        <v>143</v>
      </c>
      <c r="E34" s="6" t="n">
        <v>1000</v>
      </c>
      <c r="F34" s="7" t="n">
        <v>2</v>
      </c>
      <c r="G34" s="6" t="n">
        <v>58.34</v>
      </c>
      <c r="H34" s="6" t="n">
        <v>15</v>
      </c>
      <c r="I34" s="6" t="n">
        <v>116.68</v>
      </c>
      <c r="J34" s="6" t="n">
        <v>101.68</v>
      </c>
    </row>
    <row collapsed="false" customFormat="false" customHeight="false" hidden="false" ht="12.1" outlineLevel="0" r="35">
      <c r="A35" s="35" t="n">
        <v>45041</v>
      </c>
      <c r="B35" s="16" t="s">
        <v>1375</v>
      </c>
      <c r="C35" s="16" t="s">
        <v>915</v>
      </c>
      <c r="D35" s="16" t="s">
        <v>1382</v>
      </c>
      <c r="E35" s="6" t="n">
        <v>1000</v>
      </c>
      <c r="F35" s="7" t="n">
        <v>1</v>
      </c>
      <c r="G35" s="6" t="n">
        <v>17.98</v>
      </c>
      <c r="H35" s="6" t="n">
        <v>2</v>
      </c>
      <c r="I35" s="6" t="n">
        <v>17.98</v>
      </c>
      <c r="J35" s="6" t="n">
        <v>15.98</v>
      </c>
    </row>
    <row collapsed="false" customFormat="false" customHeight="false" hidden="false" ht="12.1" outlineLevel="0" r="36">
      <c r="A36" s="35" t="n">
        <v>45047</v>
      </c>
      <c r="B36" s="16" t="s">
        <v>1375</v>
      </c>
      <c r="C36" s="16" t="s">
        <v>290</v>
      </c>
      <c r="D36" s="16" t="s">
        <v>291</v>
      </c>
      <c r="E36" s="6" t="n">
        <v>1000</v>
      </c>
      <c r="F36" s="7" t="n">
        <v>1</v>
      </c>
      <c r="G36" s="6" t="n">
        <v>28.22</v>
      </c>
      <c r="H36" s="6" t="n">
        <v>4</v>
      </c>
      <c r="I36" s="6" t="n">
        <v>28.22</v>
      </c>
      <c r="J36" s="6" t="n">
        <v>24.22</v>
      </c>
    </row>
    <row collapsed="false" customFormat="false" customHeight="false" hidden="false" ht="12.1" outlineLevel="0" r="37">
      <c r="A37" s="35" t="n">
        <v>45049</v>
      </c>
      <c r="B37" s="16" t="s">
        <v>1375</v>
      </c>
      <c r="C37" s="16" t="s">
        <v>916</v>
      </c>
      <c r="D37" s="16" t="s">
        <v>1383</v>
      </c>
      <c r="E37" s="6" t="n">
        <v>1000</v>
      </c>
      <c r="F37" s="7" t="n">
        <v>1</v>
      </c>
      <c r="G37" s="6" t="n">
        <v>42.38</v>
      </c>
      <c r="H37" s="6" t="n">
        <v>6</v>
      </c>
      <c r="I37" s="6" t="n">
        <v>42.38</v>
      </c>
      <c r="J37" s="6" t="n">
        <v>36.38</v>
      </c>
    </row>
    <row collapsed="false" customFormat="false" customHeight="false" hidden="false" ht="12.1" outlineLevel="0" r="38">
      <c r="A38" s="35" t="n">
        <v>45062</v>
      </c>
      <c r="B38" s="16" t="s">
        <v>1375</v>
      </c>
      <c r="C38" s="16" t="s">
        <v>109</v>
      </c>
      <c r="D38" s="16" t="s">
        <v>110</v>
      </c>
      <c r="E38" s="6" t="n">
        <v>1000</v>
      </c>
      <c r="F38" s="7" t="n">
        <v>3</v>
      </c>
      <c r="G38" s="6" t="n">
        <v>51.21</v>
      </c>
      <c r="H38" s="6" t="n">
        <v>20</v>
      </c>
      <c r="I38" s="6" t="n">
        <v>153.63</v>
      </c>
      <c r="J38" s="6" t="n">
        <v>133.63</v>
      </c>
    </row>
    <row collapsed="false" customFormat="false" customHeight="false" hidden="false" ht="12.1" outlineLevel="0" r="39">
      <c r="A39" s="35" t="n">
        <v>45067</v>
      </c>
      <c r="B39" s="16" t="s">
        <v>1375</v>
      </c>
      <c r="C39" s="16" t="s">
        <v>923</v>
      </c>
      <c r="D39" s="16" t="s">
        <v>1385</v>
      </c>
      <c r="E39" s="6" t="n">
        <v>1000</v>
      </c>
      <c r="F39" s="7" t="n">
        <v>1</v>
      </c>
      <c r="G39" s="6" t="n">
        <v>32.41</v>
      </c>
      <c r="H39" s="6" t="n">
        <v>4</v>
      </c>
      <c r="I39" s="6" t="n">
        <v>32.41</v>
      </c>
      <c r="J39" s="6" t="n">
        <v>28.41</v>
      </c>
    </row>
    <row collapsed="false" customFormat="false" customHeight="false" hidden="false" ht="12.1" outlineLevel="0" r="40">
      <c r="A40" s="35" t="n">
        <v>45069</v>
      </c>
      <c r="B40" s="16" t="s">
        <v>1375</v>
      </c>
      <c r="C40" s="16" t="s">
        <v>136</v>
      </c>
      <c r="D40" s="16" t="s">
        <v>137</v>
      </c>
      <c r="E40" s="6" t="n">
        <v>1000</v>
      </c>
      <c r="F40" s="7" t="n">
        <v>3</v>
      </c>
      <c r="G40" s="6" t="n">
        <v>36.15</v>
      </c>
      <c r="H40" s="6" t="n">
        <v>14</v>
      </c>
      <c r="I40" s="6" t="n">
        <v>108.45</v>
      </c>
      <c r="J40" s="6" t="n">
        <v>94.45</v>
      </c>
    </row>
    <row collapsed="false" customFormat="false" customHeight="false" hidden="false" ht="12.1" outlineLevel="0" r="41">
      <c r="A41" s="35" t="n">
        <v>45069</v>
      </c>
      <c r="B41" s="16" t="s">
        <v>1375</v>
      </c>
      <c r="C41" s="16" t="s">
        <v>917</v>
      </c>
      <c r="D41" s="16" t="s">
        <v>1380</v>
      </c>
      <c r="E41" s="6" t="n">
        <v>500</v>
      </c>
      <c r="F41" s="7" t="n">
        <v>1</v>
      </c>
      <c r="G41" s="6" t="n">
        <v>10.72</v>
      </c>
      <c r="H41" s="6" t="n">
        <v>1</v>
      </c>
      <c r="I41" s="6" t="n">
        <v>10.72</v>
      </c>
      <c r="J41" s="6" t="n">
        <v>9.72</v>
      </c>
    </row>
    <row collapsed="false" customFormat="false" customHeight="false" hidden="false" ht="12.1" outlineLevel="0" r="42">
      <c r="A42" s="35" t="n">
        <v>45070</v>
      </c>
      <c r="B42" s="16" t="s">
        <v>1375</v>
      </c>
      <c r="C42" s="16" t="s">
        <v>331</v>
      </c>
      <c r="D42" s="16" t="s">
        <v>332</v>
      </c>
      <c r="E42" s="6" t="n">
        <v>625</v>
      </c>
      <c r="F42" s="7" t="n">
        <v>1</v>
      </c>
      <c r="G42" s="6" t="n">
        <v>10.83</v>
      </c>
      <c r="H42" s="6" t="n">
        <v>1</v>
      </c>
      <c r="I42" s="6" t="n">
        <v>10.83</v>
      </c>
      <c r="J42" s="6" t="n">
        <v>9.83</v>
      </c>
    </row>
    <row collapsed="false" customFormat="false" customHeight="false" hidden="false" ht="12.1" outlineLevel="0" r="43">
      <c r="A43" s="35" t="n">
        <v>45078</v>
      </c>
      <c r="B43" s="16" t="s">
        <v>1375</v>
      </c>
      <c r="C43" s="16" t="s">
        <v>260</v>
      </c>
      <c r="D43" s="16" t="s">
        <v>261</v>
      </c>
      <c r="E43" s="6" t="n">
        <v>1000</v>
      </c>
      <c r="F43" s="7" t="n">
        <v>1</v>
      </c>
      <c r="G43" s="6" t="n">
        <v>24.81</v>
      </c>
      <c r="H43" s="6" t="n">
        <v>3</v>
      </c>
      <c r="I43" s="6" t="n">
        <v>24.81</v>
      </c>
      <c r="J43" s="6" t="n">
        <v>21.81</v>
      </c>
    </row>
    <row collapsed="false" customFormat="false" customHeight="false" hidden="false" ht="12.1" outlineLevel="0" r="44">
      <c r="A44" s="35" t="n">
        <v>45083</v>
      </c>
      <c r="B44" s="16" t="s">
        <v>1375</v>
      </c>
      <c r="C44" s="16" t="s">
        <v>924</v>
      </c>
      <c r="D44" s="16" t="s">
        <v>1386</v>
      </c>
      <c r="E44" s="6" t="n">
        <v>1000</v>
      </c>
      <c r="F44" s="7" t="n">
        <v>1</v>
      </c>
      <c r="G44" s="6" t="n">
        <v>32.66</v>
      </c>
      <c r="H44" s="6" t="n">
        <v>4</v>
      </c>
      <c r="I44" s="6" t="n">
        <v>32.66</v>
      </c>
      <c r="J44" s="6" t="n">
        <v>28.66</v>
      </c>
    </row>
    <row collapsed="false" customFormat="false" customHeight="false" hidden="false" ht="12.1" outlineLevel="0" r="45">
      <c r="A45" s="35" t="n">
        <v>45083</v>
      </c>
      <c r="B45" s="16" t="s">
        <v>1375</v>
      </c>
      <c r="C45" s="16" t="s">
        <v>329</v>
      </c>
      <c r="D45" s="16" t="s">
        <v>330</v>
      </c>
      <c r="E45" s="6" t="n">
        <v>1000</v>
      </c>
      <c r="F45" s="7" t="n">
        <v>1</v>
      </c>
      <c r="G45" s="6" t="n">
        <v>19.87</v>
      </c>
      <c r="H45" s="6" t="n">
        <v>3</v>
      </c>
      <c r="I45" s="6" t="n">
        <v>19.87</v>
      </c>
      <c r="J45" s="6" t="n">
        <v>16.87</v>
      </c>
    </row>
    <row collapsed="false" customFormat="false" customHeight="false" hidden="false" ht="12.1" outlineLevel="0" r="46">
      <c r="A46" s="35" t="n">
        <v>45083</v>
      </c>
      <c r="B46" s="16" t="s">
        <v>1375</v>
      </c>
      <c r="C46" s="16" t="s">
        <v>94</v>
      </c>
      <c r="D46" s="16" t="s">
        <v>95</v>
      </c>
      <c r="E46" s="6" t="n">
        <v>1000</v>
      </c>
      <c r="F46" s="7" t="n">
        <v>4</v>
      </c>
      <c r="G46" s="6" t="n">
        <v>35.4</v>
      </c>
      <c r="H46" s="6" t="n">
        <v>18</v>
      </c>
      <c r="I46" s="6" t="n">
        <v>141.6</v>
      </c>
      <c r="J46" s="6" t="n">
        <v>123.6</v>
      </c>
    </row>
    <row collapsed="false" customFormat="false" customHeight="false" hidden="false" ht="12.1" outlineLevel="0" r="47">
      <c r="A47" s="35" t="n">
        <v>45089</v>
      </c>
      <c r="B47" s="16" t="s">
        <v>1375</v>
      </c>
      <c r="C47" s="16" t="s">
        <v>926</v>
      </c>
      <c r="D47" s="16" t="s">
        <v>1387</v>
      </c>
      <c r="E47" s="6" t="n">
        <v>930</v>
      </c>
      <c r="F47" s="7" t="n">
        <v>1</v>
      </c>
      <c r="G47" s="6" t="n">
        <v>31.3</v>
      </c>
      <c r="H47" s="6" t="n">
        <v>4</v>
      </c>
      <c r="I47" s="6" t="n">
        <v>31.3</v>
      </c>
      <c r="J47" s="6" t="n">
        <v>27.3</v>
      </c>
    </row>
    <row collapsed="false" customFormat="false" customHeight="false" hidden="false" ht="12.1" outlineLevel="0" r="48">
      <c r="A48" s="35" t="n">
        <v>45097</v>
      </c>
      <c r="B48" s="16" t="s">
        <v>1375</v>
      </c>
      <c r="C48" s="16" t="s">
        <v>88</v>
      </c>
      <c r="D48" s="16" t="s">
        <v>89</v>
      </c>
      <c r="E48" s="6" t="n">
        <v>1000</v>
      </c>
      <c r="F48" s="7" t="n">
        <v>3</v>
      </c>
      <c r="G48" s="6" t="n">
        <v>47.52</v>
      </c>
      <c r="H48" s="6" t="n">
        <v>19</v>
      </c>
      <c r="I48" s="6" t="n">
        <v>142.56</v>
      </c>
      <c r="J48" s="6" t="n">
        <v>123.56</v>
      </c>
    </row>
    <row collapsed="false" customFormat="false" customHeight="false" hidden="false" ht="12.1" outlineLevel="0" r="49">
      <c r="A49" s="35" t="n">
        <v>45112</v>
      </c>
      <c r="B49" s="16" t="s">
        <v>1375</v>
      </c>
      <c r="C49" s="16" t="s">
        <v>918</v>
      </c>
      <c r="D49" s="16" t="s">
        <v>1381</v>
      </c>
      <c r="E49" s="6" t="n">
        <v>600</v>
      </c>
      <c r="F49" s="7" t="n">
        <v>1</v>
      </c>
      <c r="G49" s="6" t="n">
        <v>20.94</v>
      </c>
      <c r="H49" s="6" t="n">
        <v>3</v>
      </c>
      <c r="I49" s="6" t="n">
        <v>20.94</v>
      </c>
      <c r="J49" s="6" t="n">
        <v>17.94</v>
      </c>
    </row>
    <row collapsed="false" customFormat="false" customHeight="false" hidden="false" ht="12.1" outlineLevel="0" r="50">
      <c r="A50" s="35" t="n">
        <v>45132</v>
      </c>
      <c r="B50" s="16" t="s">
        <v>1375</v>
      </c>
      <c r="C50" s="16" t="s">
        <v>287</v>
      </c>
      <c r="D50" s="16" t="s">
        <v>288</v>
      </c>
      <c r="E50" s="6" t="n">
        <v>1000</v>
      </c>
      <c r="F50" s="7" t="n">
        <v>1</v>
      </c>
      <c r="G50" s="6" t="n">
        <v>43.38</v>
      </c>
      <c r="H50" s="6" t="n">
        <v>6</v>
      </c>
      <c r="I50" s="6" t="n">
        <v>43.38</v>
      </c>
      <c r="J50" s="6" t="n">
        <v>37.38</v>
      </c>
    </row>
    <row collapsed="false" customFormat="false" customHeight="false" hidden="false" ht="12.1" outlineLevel="0" r="51">
      <c r="A51" s="35" t="n">
        <v>45132</v>
      </c>
      <c r="B51" s="16" t="s">
        <v>1375</v>
      </c>
      <c r="C51" s="16" t="s">
        <v>915</v>
      </c>
      <c r="D51" s="16" t="s">
        <v>1382</v>
      </c>
      <c r="E51" s="6" t="n">
        <v>1000</v>
      </c>
      <c r="F51" s="7" t="n">
        <v>1</v>
      </c>
      <c r="G51" s="6" t="n">
        <v>18.18</v>
      </c>
      <c r="H51" s="6" t="n">
        <v>2</v>
      </c>
      <c r="I51" s="6" t="n">
        <v>18.18</v>
      </c>
      <c r="J51" s="6" t="n">
        <v>16.18</v>
      </c>
    </row>
    <row collapsed="false" customFormat="false" customHeight="false" hidden="false" ht="12.1" outlineLevel="0" r="52">
      <c r="A52" s="35" t="n">
        <v>45138</v>
      </c>
      <c r="B52" s="16" t="s">
        <v>1375</v>
      </c>
      <c r="C52" s="16" t="s">
        <v>290</v>
      </c>
      <c r="D52" s="16" t="s">
        <v>291</v>
      </c>
      <c r="E52" s="6" t="n">
        <v>1000</v>
      </c>
      <c r="F52" s="7" t="n">
        <v>1</v>
      </c>
      <c r="G52" s="6" t="n">
        <v>28.22</v>
      </c>
      <c r="H52" s="6" t="n">
        <v>4</v>
      </c>
      <c r="I52" s="6" t="n">
        <v>28.22</v>
      </c>
      <c r="J52" s="6" t="n">
        <v>24.22</v>
      </c>
    </row>
    <row collapsed="false" customFormat="false" customHeight="false" hidden="false" ht="12.1" outlineLevel="0" r="53">
      <c r="A53" s="35" t="n">
        <v>45139</v>
      </c>
      <c r="B53" s="16" t="s">
        <v>1375</v>
      </c>
      <c r="C53" s="16" t="s">
        <v>84</v>
      </c>
      <c r="D53" s="16" t="s">
        <v>86</v>
      </c>
      <c r="E53" s="6" t="n">
        <v>1000</v>
      </c>
      <c r="F53" s="7" t="n">
        <v>10</v>
      </c>
      <c r="G53" s="6" t="n">
        <v>30.42</v>
      </c>
      <c r="H53" s="6" t="n">
        <v>40</v>
      </c>
      <c r="I53" s="6" t="n">
        <v>304.2</v>
      </c>
      <c r="J53" s="6" t="n">
        <v>264.2</v>
      </c>
    </row>
    <row collapsed="false" customFormat="false" customHeight="false" hidden="false" ht="12.1" outlineLevel="0" r="54">
      <c r="A54" s="35" t="n">
        <v>45139</v>
      </c>
      <c r="B54" s="16" t="s">
        <v>1375</v>
      </c>
      <c r="C54" s="16" t="s">
        <v>922</v>
      </c>
      <c r="D54" s="16" t="s">
        <v>1384</v>
      </c>
      <c r="E54" s="6" t="n">
        <v>1000</v>
      </c>
      <c r="F54" s="7" t="n">
        <v>1</v>
      </c>
      <c r="G54" s="6" t="n">
        <v>43.53</v>
      </c>
      <c r="H54" s="6" t="n">
        <v>6</v>
      </c>
      <c r="I54" s="6" t="n">
        <v>43.53</v>
      </c>
      <c r="J54" s="6" t="n">
        <v>37.53</v>
      </c>
    </row>
    <row collapsed="false" customFormat="false" customHeight="false" hidden="false" ht="12.1" outlineLevel="0" r="55">
      <c r="A55" s="35" t="n">
        <v>45142</v>
      </c>
      <c r="B55" s="16" t="s">
        <v>1375</v>
      </c>
      <c r="C55" s="16" t="s">
        <v>311</v>
      </c>
      <c r="D55" s="16" t="s">
        <v>312</v>
      </c>
      <c r="E55" s="6" t="n">
        <v>1000</v>
      </c>
      <c r="F55" s="7" t="n">
        <v>1</v>
      </c>
      <c r="G55" s="6" t="n">
        <v>53.1</v>
      </c>
      <c r="H55" s="6" t="n">
        <v>7</v>
      </c>
      <c r="I55" s="6" t="n">
        <v>53.1</v>
      </c>
      <c r="J55" s="6" t="n">
        <v>46.1</v>
      </c>
    </row>
    <row collapsed="false" customFormat="false" customHeight="false" hidden="false" ht="12.1" outlineLevel="0" r="56">
      <c r="A56" s="35" t="n">
        <v>45153</v>
      </c>
      <c r="B56" s="16" t="s">
        <v>1375</v>
      </c>
      <c r="C56" s="16" t="s">
        <v>112</v>
      </c>
      <c r="D56" s="16" t="s">
        <v>113</v>
      </c>
      <c r="E56" s="6" t="n">
        <v>1000</v>
      </c>
      <c r="F56" s="7" t="n">
        <v>7</v>
      </c>
      <c r="G56" s="6" t="n">
        <v>34.9</v>
      </c>
      <c r="H56" s="6" t="n">
        <v>32</v>
      </c>
      <c r="I56" s="6" t="n">
        <v>244.3</v>
      </c>
      <c r="J56" s="6" t="n">
        <v>212.3</v>
      </c>
    </row>
    <row collapsed="false" customFormat="false" customHeight="false" hidden="false" ht="12.1" outlineLevel="0" r="57">
      <c r="A57" s="35" t="n">
        <v>45155</v>
      </c>
      <c r="B57" s="16" t="s">
        <v>1375</v>
      </c>
      <c r="C57" s="16" t="s">
        <v>925</v>
      </c>
      <c r="D57" s="16" t="s">
        <v>1388</v>
      </c>
      <c r="E57" s="6" t="n">
        <v>1000</v>
      </c>
      <c r="F57" s="7" t="n">
        <v>1</v>
      </c>
      <c r="G57" s="6" t="n">
        <v>51.61</v>
      </c>
      <c r="H57" s="6" t="n">
        <v>7</v>
      </c>
      <c r="I57" s="6" t="n">
        <v>51.61</v>
      </c>
      <c r="J57" s="6" t="n">
        <v>44.61</v>
      </c>
    </row>
    <row collapsed="false" customFormat="false" customHeight="false" hidden="false" ht="12.1" outlineLevel="0" r="58">
      <c r="A58" s="35" t="n">
        <v>45157</v>
      </c>
      <c r="B58" s="16" t="s">
        <v>1375</v>
      </c>
      <c r="C58" s="16" t="s">
        <v>199</v>
      </c>
      <c r="D58" s="16" t="s">
        <v>200</v>
      </c>
      <c r="E58" s="6" t="n">
        <v>1000</v>
      </c>
      <c r="F58" s="7" t="n">
        <v>2</v>
      </c>
      <c r="G58" s="6" t="n">
        <v>7.5</v>
      </c>
      <c r="H58" s="6" t="n">
        <v>2</v>
      </c>
      <c r="I58" s="6" t="n">
        <v>15</v>
      </c>
      <c r="J58" s="6" t="n">
        <v>13</v>
      </c>
    </row>
    <row collapsed="false" customFormat="false" customHeight="false" hidden="false" ht="12.1" outlineLevel="0" r="59">
      <c r="A59" s="35" t="n">
        <v>45158</v>
      </c>
      <c r="B59" s="16" t="s">
        <v>1375</v>
      </c>
      <c r="C59" s="16" t="s">
        <v>923</v>
      </c>
      <c r="D59" s="16" t="s">
        <v>1385</v>
      </c>
      <c r="E59" s="6" t="n">
        <v>1000</v>
      </c>
      <c r="F59" s="7" t="n">
        <v>2</v>
      </c>
      <c r="G59" s="6" t="n">
        <v>32.41</v>
      </c>
      <c r="H59" s="6" t="n">
        <v>8</v>
      </c>
      <c r="I59" s="6" t="n">
        <v>64.82</v>
      </c>
      <c r="J59" s="6" t="n">
        <v>56.82</v>
      </c>
    </row>
    <row collapsed="false" customFormat="false" customHeight="false" hidden="false" ht="12.1" outlineLevel="0" r="60">
      <c r="A60" s="35" t="n">
        <v>45160</v>
      </c>
      <c r="B60" s="16" t="s">
        <v>1375</v>
      </c>
      <c r="C60" s="16" t="s">
        <v>917</v>
      </c>
      <c r="D60" s="16" t="s">
        <v>1380</v>
      </c>
      <c r="E60" s="6" t="n">
        <v>500</v>
      </c>
      <c r="F60" s="7" t="n">
        <v>1</v>
      </c>
      <c r="G60" s="6" t="n">
        <v>10.72</v>
      </c>
      <c r="H60" s="6" t="n">
        <v>1</v>
      </c>
      <c r="I60" s="6" t="n">
        <v>10.72</v>
      </c>
      <c r="J60" s="6" t="n">
        <v>9.72</v>
      </c>
    </row>
    <row collapsed="false" customFormat="false" customHeight="false" hidden="false" ht="12.1" outlineLevel="0" r="61">
      <c r="A61" s="35" t="n">
        <v>45161</v>
      </c>
      <c r="B61" s="16" t="s">
        <v>1375</v>
      </c>
      <c r="C61" s="16" t="s">
        <v>331</v>
      </c>
      <c r="D61" s="16" t="s">
        <v>332</v>
      </c>
      <c r="E61" s="6" t="n">
        <v>625</v>
      </c>
      <c r="F61" s="7" t="n">
        <v>1</v>
      </c>
      <c r="G61" s="6" t="n">
        <v>10.83</v>
      </c>
      <c r="H61" s="6" t="n">
        <v>1</v>
      </c>
      <c r="I61" s="6" t="n">
        <v>10.83</v>
      </c>
      <c r="J61" s="6" t="n">
        <v>9.83</v>
      </c>
    </row>
    <row collapsed="false" customFormat="false" customHeight="false" hidden="false" ht="12.1" outlineLevel="0" r="62">
      <c r="A62" s="35" t="n">
        <v>45169</v>
      </c>
      <c r="B62" s="16" t="s">
        <v>1375</v>
      </c>
      <c r="C62" s="16" t="s">
        <v>260</v>
      </c>
      <c r="D62" s="16" t="s">
        <v>261</v>
      </c>
      <c r="E62" s="6" t="n">
        <v>1000</v>
      </c>
      <c r="F62" s="7" t="n">
        <v>1</v>
      </c>
      <c r="G62" s="6" t="n">
        <v>24.81</v>
      </c>
      <c r="H62" s="6" t="n">
        <v>3</v>
      </c>
      <c r="I62" s="6" t="n">
        <v>24.81</v>
      </c>
      <c r="J62" s="6" t="n">
        <v>21.81</v>
      </c>
    </row>
    <row collapsed="false" customFormat="false" customHeight="false" hidden="false" ht="12.1" outlineLevel="0" r="63">
      <c r="A63" s="35" t="n">
        <v>45174</v>
      </c>
      <c r="B63" s="16" t="s">
        <v>1375</v>
      </c>
      <c r="C63" s="16" t="s">
        <v>329</v>
      </c>
      <c r="D63" s="16" t="s">
        <v>330</v>
      </c>
      <c r="E63" s="6" t="n">
        <v>1000</v>
      </c>
      <c r="F63" s="7" t="n">
        <v>1</v>
      </c>
      <c r="G63" s="6" t="n">
        <v>19.87</v>
      </c>
      <c r="H63" s="6" t="n">
        <v>3</v>
      </c>
      <c r="I63" s="6" t="n">
        <v>19.87</v>
      </c>
      <c r="J63" s="6" t="n">
        <v>16.87</v>
      </c>
    </row>
    <row collapsed="false" customFormat="false" customHeight="false" hidden="false" ht="12.1" outlineLevel="0" r="64">
      <c r="A64" s="35" t="n">
        <v>45174</v>
      </c>
      <c r="B64" s="16" t="s">
        <v>1375</v>
      </c>
      <c r="C64" s="16" t="s">
        <v>240</v>
      </c>
      <c r="D64" s="16" t="s">
        <v>241</v>
      </c>
      <c r="E64" s="6" t="n">
        <v>1000</v>
      </c>
      <c r="F64" s="7" t="n">
        <v>1</v>
      </c>
      <c r="G64" s="6" t="n">
        <v>43.33</v>
      </c>
      <c r="H64" s="6" t="n">
        <v>6</v>
      </c>
      <c r="I64" s="6" t="n">
        <v>43.33</v>
      </c>
      <c r="J64" s="6" t="n">
        <v>37.33</v>
      </c>
    </row>
    <row collapsed="false" customFormat="false" customHeight="false" hidden="false" ht="12.1" outlineLevel="0" r="65">
      <c r="A65" s="35" t="n">
        <v>45187</v>
      </c>
      <c r="B65" s="16" t="s">
        <v>1375</v>
      </c>
      <c r="C65" s="16" t="s">
        <v>275</v>
      </c>
      <c r="D65" s="16" t="s">
        <v>276</v>
      </c>
      <c r="E65" s="6" t="n">
        <v>1000</v>
      </c>
      <c r="F65" s="7" t="n">
        <v>1</v>
      </c>
      <c r="G65" s="6" t="n">
        <v>39.39</v>
      </c>
      <c r="H65" s="6" t="n">
        <v>5</v>
      </c>
      <c r="I65" s="6" t="n">
        <v>39.39</v>
      </c>
      <c r="J65" s="6" t="n">
        <v>34.39</v>
      </c>
    </row>
    <row collapsed="false" customFormat="false" customHeight="false" hidden="false" ht="12.1" outlineLevel="0" r="66">
      <c r="A66" s="35" t="n">
        <v>45188</v>
      </c>
      <c r="B66" s="16" t="s">
        <v>1375</v>
      </c>
      <c r="C66" s="16" t="s">
        <v>199</v>
      </c>
      <c r="D66" s="16" t="s">
        <v>200</v>
      </c>
      <c r="E66" s="6" t="n">
        <v>1000</v>
      </c>
      <c r="F66" s="7" t="n">
        <v>2</v>
      </c>
      <c r="G66" s="6" t="n">
        <v>8.24</v>
      </c>
      <c r="H66" s="6" t="n">
        <v>2</v>
      </c>
      <c r="I66" s="6" t="n">
        <v>16.48</v>
      </c>
      <c r="J66" s="6" t="n">
        <v>14.48</v>
      </c>
    </row>
    <row collapsed="false" customFormat="false" customHeight="false" hidden="false" ht="12.1" outlineLevel="0" r="67">
      <c r="A67" s="35" t="n">
        <v>45188</v>
      </c>
      <c r="B67" s="16" t="s">
        <v>1375</v>
      </c>
      <c r="C67" s="16" t="s">
        <v>103</v>
      </c>
      <c r="D67" s="16" t="s">
        <v>104</v>
      </c>
      <c r="E67" s="6" t="n">
        <v>1000</v>
      </c>
      <c r="F67" s="7" t="n">
        <v>7</v>
      </c>
      <c r="G67" s="6" t="n">
        <v>29.42</v>
      </c>
      <c r="H67" s="6" t="n">
        <v>27</v>
      </c>
      <c r="I67" s="6" t="n">
        <v>205.94</v>
      </c>
      <c r="J67" s="6" t="n">
        <v>178.94</v>
      </c>
    </row>
    <row collapsed="false" customFormat="false" customHeight="false" hidden="false" ht="12.1" outlineLevel="0" r="68">
      <c r="A68" s="35" t="n">
        <v>45194</v>
      </c>
      <c r="B68" s="16" t="s">
        <v>1375</v>
      </c>
      <c r="C68" s="16" t="s">
        <v>930</v>
      </c>
      <c r="D68" s="16" t="s">
        <v>1389</v>
      </c>
      <c r="E68" s="6" t="n">
        <v>825</v>
      </c>
      <c r="F68" s="7" t="n">
        <v>1</v>
      </c>
      <c r="G68" s="6" t="n">
        <v>21.6</v>
      </c>
      <c r="H68" s="6" t="n">
        <v>3</v>
      </c>
      <c r="I68" s="6" t="n">
        <v>21.6</v>
      </c>
      <c r="J68" s="6" t="n">
        <v>18.6</v>
      </c>
    </row>
    <row collapsed="false" customFormat="false" customHeight="false" hidden="false" ht="12.1" outlineLevel="0" r="69">
      <c r="A69" s="35" t="n">
        <v>45195</v>
      </c>
      <c r="B69" s="16" t="s">
        <v>1375</v>
      </c>
      <c r="C69" s="16" t="s">
        <v>157</v>
      </c>
      <c r="D69" s="16" t="s">
        <v>158</v>
      </c>
      <c r="E69" s="6" t="n">
        <v>1448.61</v>
      </c>
      <c r="F69" s="7" t="n">
        <v>4</v>
      </c>
      <c r="G69" s="6" t="n">
        <v>14.99</v>
      </c>
      <c r="H69" s="6" t="n">
        <v>8</v>
      </c>
      <c r="I69" s="6" t="n">
        <v>59.96</v>
      </c>
      <c r="J69" s="6" t="n">
        <v>51.96</v>
      </c>
    </row>
    <row collapsed="false" customFormat="false" customHeight="false" hidden="false" ht="12.1" outlineLevel="0" r="70">
      <c r="A70" s="35" t="n">
        <v>45202</v>
      </c>
      <c r="B70" s="16" t="s">
        <v>1375</v>
      </c>
      <c r="C70" s="16" t="s">
        <v>106</v>
      </c>
      <c r="D70" s="16" t="s">
        <v>107</v>
      </c>
      <c r="E70" s="6" t="n">
        <v>1000</v>
      </c>
      <c r="F70" s="7" t="n">
        <v>5</v>
      </c>
      <c r="G70" s="6" t="n">
        <v>38.39</v>
      </c>
      <c r="H70" s="6" t="n">
        <v>25</v>
      </c>
      <c r="I70" s="6" t="n">
        <v>191.95</v>
      </c>
      <c r="J70" s="6" t="n">
        <v>166.95</v>
      </c>
    </row>
    <row collapsed="false" customFormat="false" customHeight="false" hidden="false" ht="12.1" outlineLevel="0" r="71">
      <c r="A71" s="35" t="n">
        <v>45202</v>
      </c>
      <c r="B71" s="16" t="s">
        <v>1375</v>
      </c>
      <c r="C71" s="16" t="s">
        <v>127</v>
      </c>
      <c r="D71" s="16" t="s">
        <v>128</v>
      </c>
      <c r="E71" s="6" t="n">
        <v>1000</v>
      </c>
      <c r="F71" s="7" t="n">
        <v>1</v>
      </c>
      <c r="G71" s="6" t="n">
        <v>38.39</v>
      </c>
      <c r="H71" s="6" t="n">
        <v>5</v>
      </c>
      <c r="I71" s="6" t="n">
        <v>38.39</v>
      </c>
      <c r="J71" s="6" t="n">
        <v>33.39</v>
      </c>
    </row>
    <row collapsed="false" customFormat="false" customHeight="false" hidden="false" ht="12.1" outlineLevel="0" r="72">
      <c r="A72" s="35" t="n">
        <v>45203</v>
      </c>
      <c r="B72" s="16" t="s">
        <v>1375</v>
      </c>
      <c r="C72" s="16" t="s">
        <v>918</v>
      </c>
      <c r="D72" s="16" t="s">
        <v>1381</v>
      </c>
      <c r="E72" s="6" t="n">
        <v>400</v>
      </c>
      <c r="F72" s="7" t="n">
        <v>1</v>
      </c>
      <c r="G72" s="6" t="n">
        <v>13.96</v>
      </c>
      <c r="H72" s="6" t="n">
        <v>2</v>
      </c>
      <c r="I72" s="6" t="n">
        <v>13.96</v>
      </c>
      <c r="J72" s="6" t="n">
        <v>11.96</v>
      </c>
    </row>
    <row collapsed="false" customFormat="false" customHeight="false" hidden="false" ht="12.1" outlineLevel="0" r="73">
      <c r="A73" s="35" t="n">
        <v>45209</v>
      </c>
      <c r="B73" s="16" t="s">
        <v>1375</v>
      </c>
      <c r="C73" s="16" t="s">
        <v>142</v>
      </c>
      <c r="D73" s="16" t="s">
        <v>143</v>
      </c>
      <c r="E73" s="6" t="n">
        <v>1000</v>
      </c>
      <c r="F73" s="7" t="n">
        <v>2</v>
      </c>
      <c r="G73" s="6" t="n">
        <v>43.33</v>
      </c>
      <c r="H73" s="6" t="n">
        <v>11</v>
      </c>
      <c r="I73" s="6" t="n">
        <v>86.66</v>
      </c>
      <c r="J73" s="6" t="n">
        <v>75.66</v>
      </c>
    </row>
    <row collapsed="false" customFormat="false" customHeight="false" hidden="false" ht="12.1" outlineLevel="0" r="74">
      <c r="A74" s="35" t="n">
        <v>45216</v>
      </c>
      <c r="B74" s="16" t="s">
        <v>1375</v>
      </c>
      <c r="C74" s="16" t="s">
        <v>124</v>
      </c>
      <c r="D74" s="16" t="s">
        <v>125</v>
      </c>
      <c r="E74" s="6" t="n">
        <v>1000</v>
      </c>
      <c r="F74" s="7" t="n">
        <v>2</v>
      </c>
      <c r="G74" s="6" t="n">
        <v>38.15</v>
      </c>
      <c r="H74" s="6" t="n">
        <v>10</v>
      </c>
      <c r="I74" s="6" t="n">
        <v>76.3</v>
      </c>
      <c r="J74" s="6" t="n">
        <v>66.3</v>
      </c>
    </row>
    <row collapsed="false" customFormat="false" customHeight="false" hidden="false" ht="12.1" outlineLevel="0" r="75">
      <c r="A75" s="35" t="n">
        <v>45219</v>
      </c>
      <c r="B75" s="16" t="s">
        <v>1375</v>
      </c>
      <c r="C75" s="16" t="s">
        <v>199</v>
      </c>
      <c r="D75" s="16" t="s">
        <v>200</v>
      </c>
      <c r="E75" s="6" t="n">
        <v>1000</v>
      </c>
      <c r="F75" s="7" t="n">
        <v>2</v>
      </c>
      <c r="G75" s="6" t="n">
        <v>11.28</v>
      </c>
      <c r="H75" s="6" t="n">
        <v>3</v>
      </c>
      <c r="I75" s="6" t="n">
        <v>22.56</v>
      </c>
      <c r="J75" s="6" t="n">
        <v>19.56</v>
      </c>
    </row>
    <row collapsed="false" customFormat="false" customHeight="false" hidden="false" ht="12.1" outlineLevel="0" r="76">
      <c r="A76" s="35" t="n">
        <v>45223</v>
      </c>
      <c r="B76" s="16" t="s">
        <v>1375</v>
      </c>
      <c r="C76" s="16" t="s">
        <v>915</v>
      </c>
      <c r="D76" s="16" t="s">
        <v>1382</v>
      </c>
      <c r="E76" s="6" t="n">
        <v>1000</v>
      </c>
      <c r="F76" s="7" t="n">
        <v>1</v>
      </c>
      <c r="G76" s="6" t="n">
        <v>27.78</v>
      </c>
      <c r="H76" s="6" t="n">
        <v>4</v>
      </c>
      <c r="I76" s="6" t="n">
        <v>27.78</v>
      </c>
      <c r="J76" s="6" t="n">
        <v>23.78</v>
      </c>
    </row>
    <row collapsed="false" customFormat="false" customHeight="false" hidden="false" ht="12.1" outlineLevel="0" r="77">
      <c r="A77" s="35" t="n">
        <v>45223</v>
      </c>
      <c r="B77" s="16" t="s">
        <v>1375</v>
      </c>
      <c r="C77" s="16" t="s">
        <v>272</v>
      </c>
      <c r="D77" s="16" t="s">
        <v>273</v>
      </c>
      <c r="E77" s="6" t="n">
        <v>1000</v>
      </c>
      <c r="F77" s="7" t="n">
        <v>1</v>
      </c>
      <c r="G77" s="6" t="n">
        <v>31.64</v>
      </c>
      <c r="H77" s="6" t="n">
        <v>4</v>
      </c>
      <c r="I77" s="6" t="n">
        <v>31.64</v>
      </c>
      <c r="J77" s="6" t="n">
        <v>27.64</v>
      </c>
    </row>
    <row collapsed="false" customFormat="false" customHeight="false" hidden="false" ht="12.1" outlineLevel="0" r="78">
      <c r="A78" s="35" t="n">
        <v>45229</v>
      </c>
      <c r="B78" s="16" t="s">
        <v>1375</v>
      </c>
      <c r="C78" s="16" t="s">
        <v>290</v>
      </c>
      <c r="D78" s="16" t="s">
        <v>291</v>
      </c>
      <c r="E78" s="6" t="n">
        <v>1000</v>
      </c>
      <c r="F78" s="7" t="n">
        <v>1</v>
      </c>
      <c r="G78" s="6" t="n">
        <v>28.22</v>
      </c>
      <c r="H78" s="6" t="n">
        <v>4</v>
      </c>
      <c r="I78" s="6" t="n">
        <v>28.22</v>
      </c>
      <c r="J78" s="6" t="n">
        <v>24.22</v>
      </c>
    </row>
    <row collapsed="false" customFormat="false" customHeight="false" hidden="false" ht="12.1" outlineLevel="0" r="79">
      <c r="A79" s="35" t="n">
        <v>45230</v>
      </c>
      <c r="B79" s="16" t="s">
        <v>1375</v>
      </c>
      <c r="C79" s="16" t="s">
        <v>293</v>
      </c>
      <c r="D79" s="16" t="s">
        <v>294</v>
      </c>
      <c r="E79" s="6" t="n">
        <v>1000</v>
      </c>
      <c r="F79" s="7" t="n">
        <v>1</v>
      </c>
      <c r="G79" s="6" t="n">
        <v>28.73</v>
      </c>
      <c r="H79" s="6" t="n">
        <v>4</v>
      </c>
      <c r="I79" s="6" t="n">
        <v>28.73</v>
      </c>
      <c r="J79" s="6" t="n">
        <v>24.73</v>
      </c>
    </row>
    <row collapsed="false" customFormat="false" customHeight="false" hidden="false" ht="12.1" outlineLevel="0" r="80">
      <c r="A80" s="35" t="n">
        <v>45231</v>
      </c>
      <c r="B80" s="16" t="s">
        <v>1375</v>
      </c>
      <c r="C80" s="16" t="s">
        <v>916</v>
      </c>
      <c r="D80" s="16" t="s">
        <v>1383</v>
      </c>
      <c r="E80" s="6" t="n">
        <v>1000</v>
      </c>
      <c r="F80" s="7" t="n">
        <v>1</v>
      </c>
      <c r="G80" s="6" t="n">
        <v>42.38</v>
      </c>
      <c r="H80" s="6" t="n">
        <v>6</v>
      </c>
      <c r="I80" s="6" t="n">
        <v>42.38</v>
      </c>
      <c r="J80" s="6" t="n">
        <v>36.38</v>
      </c>
    </row>
    <row collapsed="false" customFormat="false" customHeight="false" hidden="false" ht="12.1" outlineLevel="0" r="81">
      <c r="A81" s="35" t="n">
        <v>45244</v>
      </c>
      <c r="B81" s="16" t="s">
        <v>1375</v>
      </c>
      <c r="C81" s="16" t="s">
        <v>109</v>
      </c>
      <c r="D81" s="16" t="s">
        <v>110</v>
      </c>
      <c r="E81" s="6" t="n">
        <v>1000</v>
      </c>
      <c r="F81" s="7" t="n">
        <v>3</v>
      </c>
      <c r="G81" s="6" t="n">
        <v>43.43</v>
      </c>
      <c r="H81" s="6" t="n">
        <v>17</v>
      </c>
      <c r="I81" s="6" t="n">
        <v>130.29</v>
      </c>
      <c r="J81" s="6" t="n">
        <v>113.29</v>
      </c>
    </row>
    <row collapsed="false" customFormat="false" customHeight="false" hidden="false" ht="12.1" outlineLevel="0" r="82">
      <c r="A82" s="35" t="n">
        <v>45249</v>
      </c>
      <c r="B82" s="16" t="s">
        <v>1375</v>
      </c>
      <c r="C82" s="16" t="s">
        <v>923</v>
      </c>
      <c r="D82" s="16" t="s">
        <v>1385</v>
      </c>
      <c r="E82" s="6" t="n">
        <v>1000</v>
      </c>
      <c r="F82" s="7" t="n">
        <v>2</v>
      </c>
      <c r="G82" s="6" t="n">
        <v>32.41</v>
      </c>
      <c r="H82" s="6" t="n">
        <v>8</v>
      </c>
      <c r="I82" s="6" t="n">
        <v>64.82</v>
      </c>
      <c r="J82" s="6" t="n">
        <v>56.82</v>
      </c>
    </row>
    <row collapsed="false" customFormat="false" customHeight="false" hidden="false" ht="12.1" outlineLevel="0" r="83">
      <c r="A83" s="35" t="n">
        <v>45250</v>
      </c>
      <c r="B83" s="16" t="s">
        <v>1375</v>
      </c>
      <c r="C83" s="16" t="s">
        <v>199</v>
      </c>
      <c r="D83" s="16" t="s">
        <v>200</v>
      </c>
      <c r="E83" s="6" t="n">
        <v>1000</v>
      </c>
      <c r="F83" s="7" t="n">
        <v>2</v>
      </c>
      <c r="G83" s="6" t="n">
        <v>11.93</v>
      </c>
      <c r="H83" s="6" t="n">
        <v>3</v>
      </c>
      <c r="I83" s="6" t="n">
        <v>23.86</v>
      </c>
      <c r="J83" s="6" t="n">
        <v>20.86</v>
      </c>
    </row>
    <row collapsed="false" customFormat="false" customHeight="false" hidden="false" ht="12.1" outlineLevel="0" r="84">
      <c r="A84" s="35" t="n">
        <v>45251</v>
      </c>
      <c r="B84" s="16" t="s">
        <v>1375</v>
      </c>
      <c r="C84" s="16" t="s">
        <v>139</v>
      </c>
      <c r="D84" s="16" t="s">
        <v>140</v>
      </c>
      <c r="E84" s="6" t="n">
        <v>1242.73</v>
      </c>
      <c r="F84" s="7" t="n">
        <v>5</v>
      </c>
      <c r="G84" s="6" t="n">
        <v>17.96</v>
      </c>
      <c r="H84" s="6" t="n">
        <v>12</v>
      </c>
      <c r="I84" s="6" t="n">
        <v>89.8</v>
      </c>
      <c r="J84" s="6" t="n">
        <v>77.8</v>
      </c>
    </row>
    <row collapsed="false" customFormat="false" customHeight="false" hidden="false" ht="12.1" outlineLevel="0" r="85">
      <c r="A85" s="35" t="n">
        <v>45251</v>
      </c>
      <c r="B85" s="16" t="s">
        <v>1375</v>
      </c>
      <c r="C85" s="16" t="s">
        <v>136</v>
      </c>
      <c r="D85" s="16" t="s">
        <v>137</v>
      </c>
      <c r="E85" s="6" t="n">
        <v>1000</v>
      </c>
      <c r="F85" s="7" t="n">
        <v>6</v>
      </c>
      <c r="G85" s="6" t="n">
        <v>36.15</v>
      </c>
      <c r="H85" s="6" t="n">
        <v>28</v>
      </c>
      <c r="I85" s="6" t="n">
        <v>216.9</v>
      </c>
      <c r="J85" s="6" t="n">
        <v>188.9</v>
      </c>
    </row>
    <row collapsed="false" customFormat="false" customHeight="false" hidden="false" ht="12.1" outlineLevel="0" r="86">
      <c r="A86" s="35" t="n">
        <v>45251</v>
      </c>
      <c r="B86" s="16" t="s">
        <v>1375</v>
      </c>
      <c r="C86" s="16" t="s">
        <v>917</v>
      </c>
      <c r="D86" s="16" t="s">
        <v>1380</v>
      </c>
      <c r="E86" s="6" t="n">
        <v>500</v>
      </c>
      <c r="F86" s="7" t="n">
        <v>1</v>
      </c>
      <c r="G86" s="6" t="n">
        <v>10.72</v>
      </c>
      <c r="H86" s="6" t="n">
        <v>1</v>
      </c>
      <c r="I86" s="6" t="n">
        <v>10.72</v>
      </c>
      <c r="J86" s="6" t="n">
        <v>9.72</v>
      </c>
    </row>
    <row collapsed="false" customFormat="false" customHeight="false" hidden="false" ht="12.1" outlineLevel="0" r="87">
      <c r="A87" s="35" t="n">
        <v>45252</v>
      </c>
      <c r="B87" s="16" t="s">
        <v>1375</v>
      </c>
      <c r="C87" s="16" t="s">
        <v>331</v>
      </c>
      <c r="D87" s="16" t="s">
        <v>332</v>
      </c>
      <c r="E87" s="6" t="n">
        <v>625</v>
      </c>
      <c r="F87" s="7" t="n">
        <v>1</v>
      </c>
      <c r="G87" s="6" t="n">
        <v>10.83</v>
      </c>
      <c r="H87" s="6" t="n">
        <v>1</v>
      </c>
      <c r="I87" s="6" t="n">
        <v>10.83</v>
      </c>
      <c r="J87" s="6" t="n">
        <v>9.83</v>
      </c>
    </row>
    <row collapsed="false" customFormat="false" customHeight="false" hidden="false" ht="12.1" outlineLevel="0" r="88">
      <c r="A88" s="35" t="n">
        <v>45260</v>
      </c>
      <c r="B88" s="16" t="s">
        <v>1375</v>
      </c>
      <c r="C88" s="16" t="s">
        <v>260</v>
      </c>
      <c r="D88" s="16" t="s">
        <v>261</v>
      </c>
      <c r="E88" s="6" t="n">
        <v>1000</v>
      </c>
      <c r="F88" s="7" t="n">
        <v>1</v>
      </c>
      <c r="G88" s="6" t="n">
        <v>24.81</v>
      </c>
      <c r="H88" s="6" t="n">
        <v>3</v>
      </c>
      <c r="I88" s="6" t="n">
        <v>24.81</v>
      </c>
      <c r="J88" s="6" t="n">
        <v>21.81</v>
      </c>
    </row>
    <row collapsed="false" customFormat="false" customHeight="false" hidden="false" ht="12.1" outlineLevel="0" r="89">
      <c r="A89" s="35" t="n">
        <v>45264</v>
      </c>
      <c r="B89" s="16" t="s">
        <v>1375</v>
      </c>
      <c r="C89" s="16" t="s">
        <v>211</v>
      </c>
      <c r="D89" s="16" t="s">
        <v>212</v>
      </c>
      <c r="E89" s="6" t="n">
        <v>1000</v>
      </c>
      <c r="F89" s="7" t="n">
        <v>1</v>
      </c>
      <c r="G89" s="6" t="n">
        <v>56.1</v>
      </c>
      <c r="H89" s="6" t="n">
        <v>7</v>
      </c>
      <c r="I89" s="6" t="n">
        <v>56.1</v>
      </c>
      <c r="J89" s="6" t="n">
        <v>49.1</v>
      </c>
    </row>
    <row collapsed="false" customFormat="false" customHeight="false" hidden="false" ht="12.1" outlineLevel="0" r="90">
      <c r="A90" s="35" t="n">
        <v>45265</v>
      </c>
      <c r="B90" s="16" t="s">
        <v>1375</v>
      </c>
      <c r="C90" s="16" t="s">
        <v>329</v>
      </c>
      <c r="D90" s="16" t="s">
        <v>330</v>
      </c>
      <c r="E90" s="6" t="n">
        <v>1000</v>
      </c>
      <c r="F90" s="7" t="n">
        <v>1</v>
      </c>
      <c r="G90" s="6" t="n">
        <v>19.87</v>
      </c>
      <c r="H90" s="6" t="n">
        <v>3</v>
      </c>
      <c r="I90" s="6" t="n">
        <v>19.87</v>
      </c>
      <c r="J90" s="6" t="n">
        <v>16.87</v>
      </c>
    </row>
    <row collapsed="false" customFormat="false" customHeight="false" hidden="false" ht="12.1" outlineLevel="0" r="91">
      <c r="A91" s="35" t="n">
        <v>45265</v>
      </c>
      <c r="B91" s="16" t="s">
        <v>1375</v>
      </c>
      <c r="C91" s="16" t="s">
        <v>94</v>
      </c>
      <c r="D91" s="16" t="s">
        <v>95</v>
      </c>
      <c r="E91" s="6" t="n">
        <v>1000</v>
      </c>
      <c r="F91" s="7" t="n">
        <v>11</v>
      </c>
      <c r="G91" s="6" t="n">
        <v>35.4</v>
      </c>
      <c r="H91" s="6" t="n">
        <v>51</v>
      </c>
      <c r="I91" s="6" t="n">
        <v>389.4</v>
      </c>
      <c r="J91" s="6" t="n">
        <v>338.4</v>
      </c>
    </row>
    <row collapsed="false" customFormat="false" customHeight="false" hidden="false" ht="12.1" outlineLevel="0" r="92">
      <c r="A92" s="35" t="n">
        <v>45265</v>
      </c>
      <c r="B92" s="16" t="s">
        <v>1375</v>
      </c>
      <c r="C92" s="16" t="s">
        <v>91</v>
      </c>
      <c r="D92" s="16" t="s">
        <v>92</v>
      </c>
      <c r="E92" s="6" t="n">
        <v>1000</v>
      </c>
      <c r="F92" s="7" t="n">
        <v>3</v>
      </c>
      <c r="G92" s="6" t="n">
        <v>45.11</v>
      </c>
      <c r="H92" s="6" t="n">
        <v>18</v>
      </c>
      <c r="I92" s="6" t="n">
        <v>135.33</v>
      </c>
      <c r="J92" s="6" t="n">
        <v>117.33</v>
      </c>
    </row>
    <row collapsed="false" customFormat="false" customHeight="false" hidden="false" ht="12.1" outlineLevel="0" r="93">
      <c r="A93" s="35" t="n">
        <v>45265</v>
      </c>
      <c r="B93" s="16" t="s">
        <v>1375</v>
      </c>
      <c r="C93" s="16" t="s">
        <v>924</v>
      </c>
      <c r="D93" s="16" t="s">
        <v>1386</v>
      </c>
      <c r="E93" s="6" t="n">
        <v>1000</v>
      </c>
      <c r="F93" s="7" t="n">
        <v>1</v>
      </c>
      <c r="G93" s="6" t="n">
        <v>32.66</v>
      </c>
      <c r="H93" s="6" t="n">
        <v>4</v>
      </c>
      <c r="I93" s="6" t="n">
        <v>32.66</v>
      </c>
      <c r="J93" s="6" t="n">
        <v>28.66</v>
      </c>
    </row>
    <row collapsed="false" customFormat="false" customHeight="false" hidden="false" ht="12.1" outlineLevel="0" r="94">
      <c r="A94" s="35" t="n">
        <v>45271</v>
      </c>
      <c r="B94" s="16" t="s">
        <v>1375</v>
      </c>
      <c r="C94" s="16" t="s">
        <v>926</v>
      </c>
      <c r="D94" s="16" t="s">
        <v>1387</v>
      </c>
      <c r="E94" s="6" t="n">
        <v>930</v>
      </c>
      <c r="F94" s="7" t="n">
        <v>1</v>
      </c>
      <c r="G94" s="6" t="n">
        <v>31.3</v>
      </c>
      <c r="H94" s="6" t="n">
        <v>4</v>
      </c>
      <c r="I94" s="6" t="n">
        <v>31.3</v>
      </c>
      <c r="J94" s="6" t="n">
        <v>27.3</v>
      </c>
    </row>
    <row collapsed="false" customFormat="false" customHeight="false" hidden="false" ht="12.1" outlineLevel="0" r="95">
      <c r="A95" s="35" t="n">
        <v>45279</v>
      </c>
      <c r="B95" s="16" t="s">
        <v>1375</v>
      </c>
      <c r="C95" s="16" t="s">
        <v>88</v>
      </c>
      <c r="D95" s="16" t="s">
        <v>89</v>
      </c>
      <c r="E95" s="6" t="n">
        <v>1000</v>
      </c>
      <c r="F95" s="7" t="n">
        <v>3</v>
      </c>
      <c r="G95" s="6" t="n">
        <v>43.98</v>
      </c>
      <c r="H95" s="6" t="n">
        <v>17</v>
      </c>
      <c r="I95" s="6" t="n">
        <v>131.94</v>
      </c>
      <c r="J95" s="6" t="n">
        <v>114.94</v>
      </c>
    </row>
    <row collapsed="false" customFormat="false" customHeight="false" hidden="false" ht="12.1" outlineLevel="0" r="96">
      <c r="A96" s="35" t="n">
        <v>45281</v>
      </c>
      <c r="B96" s="16" t="s">
        <v>1375</v>
      </c>
      <c r="C96" s="16" t="s">
        <v>199</v>
      </c>
      <c r="D96" s="16" t="s">
        <v>200</v>
      </c>
      <c r="E96" s="6" t="n">
        <v>1000</v>
      </c>
      <c r="F96" s="7" t="n">
        <v>2</v>
      </c>
      <c r="G96" s="6" t="n">
        <v>12.96</v>
      </c>
      <c r="H96" s="6" t="n">
        <v>3</v>
      </c>
      <c r="I96" s="6" t="n">
        <v>25.92</v>
      </c>
      <c r="J96" s="6" t="n">
        <v>22.92</v>
      </c>
    </row>
    <row collapsed="false" customFormat="false" customHeight="false" hidden="false" ht="12.1" outlineLevel="0" r="97">
      <c r="A97" s="35" t="n">
        <v>45285</v>
      </c>
      <c r="B97" s="16" t="s">
        <v>1375</v>
      </c>
      <c r="C97" s="16" t="s">
        <v>930</v>
      </c>
      <c r="D97" s="16" t="s">
        <v>1389</v>
      </c>
      <c r="E97" s="6" t="n">
        <v>750</v>
      </c>
      <c r="F97" s="7" t="n">
        <v>1</v>
      </c>
      <c r="G97" s="6" t="n">
        <v>19.63</v>
      </c>
      <c r="H97" s="6" t="n">
        <v>3</v>
      </c>
      <c r="I97" s="6" t="n">
        <v>19.63</v>
      </c>
      <c r="J97" s="6" t="n">
        <v>16.63</v>
      </c>
    </row>
    <row collapsed="false" customFormat="false" customHeight="false" hidden="false" ht="12.1" outlineLevel="0" r="98">
      <c r="A98" s="35" t="n">
        <v>45288</v>
      </c>
      <c r="B98" s="16" t="s">
        <v>1375</v>
      </c>
      <c r="C98" s="16" t="s">
        <v>296</v>
      </c>
      <c r="D98" s="16" t="s">
        <v>297</v>
      </c>
      <c r="E98" s="6" t="n">
        <v>1000</v>
      </c>
      <c r="F98" s="7" t="n">
        <v>2</v>
      </c>
      <c r="G98" s="6" t="n">
        <v>32.91</v>
      </c>
      <c r="H98" s="6" t="n">
        <v>9</v>
      </c>
      <c r="I98" s="6" t="n">
        <v>65.82</v>
      </c>
      <c r="J98" s="6" t="n">
        <v>56.82</v>
      </c>
    </row>
    <row collapsed="false" customFormat="false" customHeight="false" hidden="false" ht="12.1" outlineLevel="0" r="99">
      <c r="A99" s="35" t="n">
        <v>45294</v>
      </c>
      <c r="B99" s="16" t="s">
        <v>1375</v>
      </c>
      <c r="C99" s="16" t="s">
        <v>918</v>
      </c>
      <c r="D99" s="16" t="s">
        <v>1381</v>
      </c>
      <c r="E99" s="6" t="n">
        <v>400</v>
      </c>
      <c r="F99" s="7" t="n">
        <v>1</v>
      </c>
      <c r="G99" s="6" t="n">
        <v>13.96</v>
      </c>
      <c r="H99" s="6" t="n">
        <v>2</v>
      </c>
      <c r="I99" s="6" t="n">
        <v>13.96</v>
      </c>
      <c r="J99" s="6" t="n">
        <v>11.96</v>
      </c>
    </row>
    <row collapsed="false" customFormat="false" customHeight="false" hidden="false" ht="12.1" outlineLevel="0" r="100">
      <c r="A100" s="35" t="n">
        <v>45307</v>
      </c>
      <c r="B100" s="16" t="s">
        <v>1375</v>
      </c>
      <c r="C100" s="16" t="s">
        <v>931</v>
      </c>
      <c r="D100" s="16" t="s">
        <v>1390</v>
      </c>
      <c r="E100" s="6" t="n">
        <v>1000</v>
      </c>
      <c r="F100" s="7" t="n">
        <v>2</v>
      </c>
      <c r="G100" s="6" t="n">
        <v>22.44</v>
      </c>
      <c r="H100" s="6" t="n">
        <v>6</v>
      </c>
      <c r="I100" s="6" t="n">
        <v>44.88</v>
      </c>
      <c r="J100" s="6" t="n">
        <v>38.88</v>
      </c>
    </row>
    <row collapsed="false" customFormat="false" customHeight="false" hidden="false" ht="12.1" outlineLevel="0" r="101">
      <c r="A101" s="35" t="n">
        <v>45312</v>
      </c>
      <c r="B101" s="16" t="s">
        <v>1375</v>
      </c>
      <c r="C101" s="16" t="s">
        <v>199</v>
      </c>
      <c r="D101" s="16" t="s">
        <v>200</v>
      </c>
      <c r="E101" s="6" t="n">
        <v>1000</v>
      </c>
      <c r="F101" s="7" t="n">
        <v>2</v>
      </c>
      <c r="G101" s="6" t="n">
        <v>13.99</v>
      </c>
      <c r="H101" s="6" t="n">
        <v>4</v>
      </c>
      <c r="I101" s="6" t="n">
        <v>27.98</v>
      </c>
      <c r="J101" s="6" t="n">
        <v>23.98</v>
      </c>
    </row>
    <row collapsed="false" customFormat="false" customHeight="false" hidden="false" ht="12.1" outlineLevel="0" r="102">
      <c r="A102" s="35" t="n">
        <v>45313</v>
      </c>
      <c r="B102" s="16" t="s">
        <v>1375</v>
      </c>
      <c r="C102" s="16" t="s">
        <v>334</v>
      </c>
      <c r="D102" s="16" t="s">
        <v>335</v>
      </c>
      <c r="E102" s="6" t="n">
        <v>1000</v>
      </c>
      <c r="F102" s="7" t="n">
        <v>1</v>
      </c>
      <c r="G102" s="6" t="n">
        <v>34.28</v>
      </c>
      <c r="H102" s="6" t="n">
        <v>4</v>
      </c>
      <c r="I102" s="6" t="n">
        <v>34.28</v>
      </c>
      <c r="J102" s="6" t="n">
        <v>30.28</v>
      </c>
    </row>
    <row collapsed="false" customFormat="false" customHeight="false" hidden="false" ht="12.1" outlineLevel="0" r="103">
      <c r="A103" s="35" t="n">
        <v>45314</v>
      </c>
      <c r="B103" s="16" t="s">
        <v>1375</v>
      </c>
      <c r="C103" s="16" t="s">
        <v>287</v>
      </c>
      <c r="D103" s="16" t="s">
        <v>288</v>
      </c>
      <c r="E103" s="6" t="n">
        <v>1000</v>
      </c>
      <c r="F103" s="7" t="n">
        <v>1</v>
      </c>
      <c r="G103" s="6" t="n">
        <v>43.38</v>
      </c>
      <c r="H103" s="6" t="n">
        <v>6</v>
      </c>
      <c r="I103" s="6" t="n">
        <v>43.38</v>
      </c>
      <c r="J103" s="6" t="n">
        <v>37.38</v>
      </c>
    </row>
    <row collapsed="false" customFormat="false" customHeight="false" hidden="false" ht="12.1" outlineLevel="0" r="104">
      <c r="A104" s="35" t="n">
        <v>45314</v>
      </c>
      <c r="B104" s="16" t="s">
        <v>1375</v>
      </c>
      <c r="C104" s="16" t="s">
        <v>272</v>
      </c>
      <c r="D104" s="16" t="s">
        <v>273</v>
      </c>
      <c r="E104" s="6" t="n">
        <v>1000</v>
      </c>
      <c r="F104" s="7" t="n">
        <v>1</v>
      </c>
      <c r="G104" s="6" t="n">
        <v>40.7</v>
      </c>
      <c r="H104" s="6" t="n">
        <v>5</v>
      </c>
      <c r="I104" s="6" t="n">
        <v>40.7</v>
      </c>
      <c r="J104" s="6" t="n">
        <v>35.7</v>
      </c>
    </row>
    <row collapsed="false" customFormat="false" customHeight="false" hidden="false" ht="12.1" outlineLevel="0" r="105">
      <c r="A105" s="35" t="n">
        <v>45314</v>
      </c>
      <c r="B105" s="16" t="s">
        <v>1375</v>
      </c>
      <c r="C105" s="16" t="s">
        <v>915</v>
      </c>
      <c r="D105" s="16" t="s">
        <v>1382</v>
      </c>
      <c r="E105" s="6" t="n">
        <v>1000</v>
      </c>
      <c r="F105" s="7" t="n">
        <v>1</v>
      </c>
      <c r="G105" s="6" t="n">
        <v>36.81</v>
      </c>
      <c r="H105" s="6" t="n">
        <v>5</v>
      </c>
      <c r="I105" s="6" t="n">
        <v>36.81</v>
      </c>
      <c r="J105" s="6" t="n">
        <v>31.81</v>
      </c>
    </row>
    <row collapsed="false" customFormat="false" customHeight="false" hidden="false" ht="12.1" outlineLevel="0" r="106">
      <c r="A106" s="35" t="n">
        <v>45316</v>
      </c>
      <c r="B106" s="16" t="s">
        <v>1375</v>
      </c>
      <c r="C106" s="16" t="s">
        <v>929</v>
      </c>
      <c r="D106" s="16" t="s">
        <v>1391</v>
      </c>
      <c r="E106" s="6" t="n">
        <v>1000</v>
      </c>
      <c r="F106" s="7" t="n">
        <v>1</v>
      </c>
      <c r="G106" s="6" t="n">
        <v>47.12</v>
      </c>
      <c r="H106" s="6" t="n">
        <v>6</v>
      </c>
      <c r="I106" s="6" t="n">
        <v>47.12</v>
      </c>
      <c r="J106" s="6" t="n">
        <v>41.12</v>
      </c>
    </row>
    <row collapsed="false" customFormat="false" customHeight="false" hidden="false" ht="12.1" outlineLevel="0" r="107">
      <c r="A107" s="35" t="n">
        <v>45320</v>
      </c>
      <c r="B107" s="16" t="s">
        <v>1375</v>
      </c>
      <c r="C107" s="16" t="s">
        <v>290</v>
      </c>
      <c r="D107" s="16" t="s">
        <v>291</v>
      </c>
      <c r="E107" s="6" t="n">
        <v>1000</v>
      </c>
      <c r="F107" s="7" t="n">
        <v>1</v>
      </c>
      <c r="G107" s="6" t="n">
        <v>28.22</v>
      </c>
      <c r="H107" s="6" t="n">
        <v>4</v>
      </c>
      <c r="I107" s="6" t="n">
        <v>28.22</v>
      </c>
      <c r="J107" s="6" t="n">
        <v>24.22</v>
      </c>
    </row>
    <row collapsed="false" customFormat="false" customHeight="false" hidden="false" ht="12.1" outlineLevel="0" r="108">
      <c r="A108" s="35" t="n">
        <v>45321</v>
      </c>
      <c r="B108" s="16" t="s">
        <v>1375</v>
      </c>
      <c r="C108" s="16" t="s">
        <v>293</v>
      </c>
      <c r="D108" s="16" t="s">
        <v>294</v>
      </c>
      <c r="E108" s="6" t="n">
        <v>1000</v>
      </c>
      <c r="F108" s="7" t="n">
        <v>1</v>
      </c>
      <c r="G108" s="6" t="n">
        <v>37.33</v>
      </c>
      <c r="H108" s="6" t="n">
        <v>5</v>
      </c>
      <c r="I108" s="6" t="n">
        <v>37.33</v>
      </c>
      <c r="J108" s="6" t="n">
        <v>32.33</v>
      </c>
    </row>
    <row collapsed="false" customFormat="false" customHeight="false" hidden="false" ht="12.1" outlineLevel="0" r="109">
      <c r="A109" s="35" t="n">
        <v>45321</v>
      </c>
      <c r="B109" s="16" t="s">
        <v>1375</v>
      </c>
      <c r="C109" s="16" t="s">
        <v>922</v>
      </c>
      <c r="D109" s="16" t="s">
        <v>1384</v>
      </c>
      <c r="E109" s="6" t="n">
        <v>1000</v>
      </c>
      <c r="F109" s="7" t="n">
        <v>1</v>
      </c>
      <c r="G109" s="6" t="n">
        <v>42.53</v>
      </c>
      <c r="H109" s="6" t="n">
        <v>6</v>
      </c>
      <c r="I109" s="6" t="n">
        <v>42.53</v>
      </c>
      <c r="J109" s="6" t="n">
        <v>36.53</v>
      </c>
    </row>
    <row collapsed="false" customFormat="false" customHeight="false" hidden="false" ht="12.1" outlineLevel="0" r="110">
      <c r="A110" s="35" t="n">
        <v>45321</v>
      </c>
      <c r="B110" s="16" t="s">
        <v>1375</v>
      </c>
      <c r="C110" s="16" t="s">
        <v>84</v>
      </c>
      <c r="D110" s="16" t="s">
        <v>86</v>
      </c>
      <c r="E110" s="6" t="n">
        <v>1000</v>
      </c>
      <c r="F110" s="7" t="n">
        <v>20</v>
      </c>
      <c r="G110" s="6" t="n">
        <v>30.42</v>
      </c>
      <c r="H110" s="6" t="n">
        <v>79</v>
      </c>
      <c r="I110" s="6" t="n">
        <v>608.4</v>
      </c>
      <c r="J110" s="6" t="n">
        <v>529.4</v>
      </c>
    </row>
    <row collapsed="false" customFormat="false" customHeight="false" hidden="false" ht="12.1" outlineLevel="0" r="111">
      <c r="A111" s="35" t="n">
        <v>45324</v>
      </c>
      <c r="B111" s="16" t="s">
        <v>1375</v>
      </c>
      <c r="C111" s="16" t="s">
        <v>311</v>
      </c>
      <c r="D111" s="16" t="s">
        <v>312</v>
      </c>
      <c r="E111" s="6" t="n">
        <v>1000</v>
      </c>
      <c r="F111" s="7" t="n">
        <v>1</v>
      </c>
      <c r="G111" s="6" t="n">
        <v>53.1</v>
      </c>
      <c r="H111" s="6" t="n">
        <v>7</v>
      </c>
      <c r="I111" s="6" t="n">
        <v>53.1</v>
      </c>
      <c r="J111" s="6" t="n">
        <v>46.1</v>
      </c>
    </row>
    <row collapsed="false" customFormat="false" customHeight="false" hidden="false" ht="12.1" outlineLevel="0" r="112">
      <c r="A112" s="35" t="n">
        <v>45335</v>
      </c>
      <c r="B112" s="16" t="s">
        <v>1375</v>
      </c>
      <c r="C112" s="16" t="s">
        <v>112</v>
      </c>
      <c r="D112" s="16" t="s">
        <v>113</v>
      </c>
      <c r="E112" s="6" t="n">
        <v>1000</v>
      </c>
      <c r="F112" s="7" t="n">
        <v>12</v>
      </c>
      <c r="G112" s="6" t="n">
        <v>34.9</v>
      </c>
      <c r="H112" s="6" t="n">
        <v>54</v>
      </c>
      <c r="I112" s="6" t="n">
        <v>418.8</v>
      </c>
      <c r="J112" s="6" t="n">
        <v>364.8</v>
      </c>
    </row>
    <row collapsed="false" customFormat="false" customHeight="false" hidden="false" ht="12.1" outlineLevel="0" r="113">
      <c r="A113" s="35" t="n">
        <v>45337</v>
      </c>
      <c r="B113" s="16" t="s">
        <v>1375</v>
      </c>
      <c r="C113" s="16" t="s">
        <v>925</v>
      </c>
      <c r="D113" s="16" t="s">
        <v>1388</v>
      </c>
      <c r="E113" s="6" t="n">
        <v>1000</v>
      </c>
      <c r="F113" s="7" t="n">
        <v>1</v>
      </c>
      <c r="G113" s="6" t="n">
        <v>51.61</v>
      </c>
      <c r="H113" s="6" t="n">
        <v>7</v>
      </c>
      <c r="I113" s="6" t="n">
        <v>51.61</v>
      </c>
      <c r="J113" s="6" t="n">
        <v>44.61</v>
      </c>
    </row>
    <row collapsed="false" customFormat="false" customHeight="false" hidden="false" ht="12.1" outlineLevel="0" r="114">
      <c r="A114" s="35" t="n">
        <v>45340</v>
      </c>
      <c r="B114" s="16" t="s">
        <v>1375</v>
      </c>
      <c r="C114" s="16" t="s">
        <v>923</v>
      </c>
      <c r="D114" s="16" t="s">
        <v>1385</v>
      </c>
      <c r="E114" s="6" t="n">
        <v>1000</v>
      </c>
      <c r="F114" s="7" t="n">
        <v>2</v>
      </c>
      <c r="G114" s="6" t="n">
        <v>32.41</v>
      </c>
      <c r="H114" s="6" t="n">
        <v>8</v>
      </c>
      <c r="I114" s="6" t="n">
        <v>64.82</v>
      </c>
      <c r="J114" s="6" t="n">
        <v>56.82</v>
      </c>
    </row>
    <row collapsed="false" customFormat="false" customHeight="false" hidden="false" ht="12.1" outlineLevel="0" r="115">
      <c r="A115" s="35" t="n">
        <v>45342</v>
      </c>
      <c r="B115" s="16" t="s">
        <v>1375</v>
      </c>
      <c r="C115" s="16" t="s">
        <v>917</v>
      </c>
      <c r="D115" s="16" t="s">
        <v>1380</v>
      </c>
      <c r="E115" s="6" t="n">
        <v>250</v>
      </c>
      <c r="F115" s="7" t="n">
        <v>1</v>
      </c>
      <c r="G115" s="6" t="n">
        <v>5.36</v>
      </c>
      <c r="H115" s="6" t="n">
        <v>1</v>
      </c>
      <c r="I115" s="6" t="n">
        <v>5.36</v>
      </c>
      <c r="J115" s="6" t="n">
        <v>4.36</v>
      </c>
    </row>
    <row collapsed="false" customFormat="false" customHeight="false" hidden="false" ht="12.1" outlineLevel="0" r="116">
      <c r="A116" s="35" t="n">
        <v>45343</v>
      </c>
      <c r="B116" s="16" t="s">
        <v>1375</v>
      </c>
      <c r="C116" s="16" t="s">
        <v>199</v>
      </c>
      <c r="D116" s="16" t="s">
        <v>200</v>
      </c>
      <c r="E116" s="6" t="n">
        <v>1000</v>
      </c>
      <c r="F116" s="7" t="n">
        <v>2</v>
      </c>
      <c r="G116" s="6" t="n">
        <v>14.3</v>
      </c>
      <c r="H116" s="6" t="n">
        <v>4</v>
      </c>
      <c r="I116" s="6" t="n">
        <v>28.6</v>
      </c>
      <c r="J116" s="6" t="n">
        <v>24.6</v>
      </c>
    </row>
    <row collapsed="false" customFormat="false" customHeight="false" hidden="false" ht="12.1" outlineLevel="0" r="117">
      <c r="A117" s="35" t="n">
        <v>45343</v>
      </c>
      <c r="B117" s="16" t="s">
        <v>1375</v>
      </c>
      <c r="C117" s="16" t="s">
        <v>331</v>
      </c>
      <c r="D117" s="16" t="s">
        <v>332</v>
      </c>
      <c r="E117" s="6" t="n">
        <v>625</v>
      </c>
      <c r="F117" s="7" t="n">
        <v>1</v>
      </c>
      <c r="G117" s="6" t="n">
        <v>10.83</v>
      </c>
      <c r="H117" s="6" t="n">
        <v>1</v>
      </c>
      <c r="I117" s="6" t="n">
        <v>10.83</v>
      </c>
      <c r="J117" s="6" t="n">
        <v>9.83</v>
      </c>
    </row>
    <row collapsed="false" customFormat="false" customHeight="false" hidden="false" ht="12.1" outlineLevel="0" r="118">
      <c r="A118" s="35" t="n">
        <v>45351</v>
      </c>
      <c r="B118" s="16" t="s">
        <v>1375</v>
      </c>
      <c r="C118" s="16" t="s">
        <v>260</v>
      </c>
      <c r="D118" s="16" t="s">
        <v>261</v>
      </c>
      <c r="E118" s="6" t="n">
        <v>1000</v>
      </c>
      <c r="F118" s="7" t="n">
        <v>1</v>
      </c>
      <c r="G118" s="6" t="n">
        <v>24.81</v>
      </c>
      <c r="H118" s="6" t="n">
        <v>3</v>
      </c>
      <c r="I118" s="6" t="n">
        <v>24.81</v>
      </c>
      <c r="J118" s="6" t="n">
        <v>21.81</v>
      </c>
    </row>
    <row collapsed="false" customFormat="false" customHeight="false" hidden="false" ht="12.1" outlineLevel="0" r="119">
      <c r="A119" s="35" t="n">
        <v>45356</v>
      </c>
      <c r="B119" s="16" t="s">
        <v>1375</v>
      </c>
      <c r="C119" s="16" t="s">
        <v>329</v>
      </c>
      <c r="D119" s="16" t="s">
        <v>330</v>
      </c>
      <c r="E119" s="6" t="n">
        <v>1000</v>
      </c>
      <c r="F119" s="7" t="n">
        <v>1</v>
      </c>
      <c r="G119" s="6" t="n">
        <v>19.87</v>
      </c>
      <c r="H119" s="6" t="n">
        <v>3</v>
      </c>
      <c r="I119" s="6" t="n">
        <v>19.87</v>
      </c>
      <c r="J119" s="6" t="n">
        <v>16.87</v>
      </c>
    </row>
    <row collapsed="false" customFormat="false" customHeight="false" hidden="false" ht="12.1" outlineLevel="0" r="120">
      <c r="A120" s="35" t="n">
        <v>45356</v>
      </c>
      <c r="B120" s="16" t="s">
        <v>1375</v>
      </c>
      <c r="C120" s="16" t="s">
        <v>240</v>
      </c>
      <c r="D120" s="16" t="s">
        <v>241</v>
      </c>
      <c r="E120" s="6" t="n">
        <v>1000</v>
      </c>
      <c r="F120" s="7" t="n">
        <v>1</v>
      </c>
      <c r="G120" s="6" t="n">
        <v>45.97</v>
      </c>
      <c r="H120" s="6" t="n">
        <v>6</v>
      </c>
      <c r="I120" s="6" t="n">
        <v>45.97</v>
      </c>
      <c r="J120" s="6" t="n">
        <v>39.97</v>
      </c>
    </row>
    <row collapsed="false" customFormat="false" customHeight="false" hidden="false" ht="12.1" outlineLevel="0" r="121">
      <c r="A121" s="35" t="n">
        <v>45357</v>
      </c>
      <c r="B121" s="16" t="s">
        <v>1375</v>
      </c>
      <c r="C121" s="16" t="s">
        <v>934</v>
      </c>
      <c r="D121" s="16" t="s">
        <v>1392</v>
      </c>
      <c r="E121" s="6" t="n">
        <v>598</v>
      </c>
      <c r="F121" s="7" t="n">
        <v>1</v>
      </c>
      <c r="G121" s="6" t="n">
        <v>14.76</v>
      </c>
      <c r="H121" s="6" t="n">
        <v>2</v>
      </c>
      <c r="I121" s="6" t="n">
        <v>14.76</v>
      </c>
      <c r="J121" s="6" t="n">
        <v>12.76</v>
      </c>
    </row>
    <row collapsed="false" customFormat="false" customHeight="false" hidden="false" ht="12.1" outlineLevel="0" r="122">
      <c r="A122" s="35" t="n">
        <v>45369</v>
      </c>
      <c r="B122" s="16" t="s">
        <v>1375</v>
      </c>
      <c r="C122" s="16" t="s">
        <v>275</v>
      </c>
      <c r="D122" s="16" t="s">
        <v>276</v>
      </c>
      <c r="E122" s="6" t="n">
        <v>1000</v>
      </c>
      <c r="F122" s="7" t="n">
        <v>1</v>
      </c>
      <c r="G122" s="6" t="n">
        <v>39.39</v>
      </c>
      <c r="H122" s="6" t="n">
        <v>5</v>
      </c>
      <c r="I122" s="6" t="n">
        <v>39.39</v>
      </c>
      <c r="J122" s="6" t="n">
        <v>34.39</v>
      </c>
    </row>
    <row collapsed="false" customFormat="false" customHeight="false" hidden="false" ht="12.1" outlineLevel="0" r="123">
      <c r="A123" s="35" t="n">
        <v>45370</v>
      </c>
      <c r="B123" s="16" t="s">
        <v>1375</v>
      </c>
      <c r="C123" s="16" t="s">
        <v>103</v>
      </c>
      <c r="D123" s="16" t="s">
        <v>104</v>
      </c>
      <c r="E123" s="6" t="n">
        <v>1000</v>
      </c>
      <c r="F123" s="7" t="n">
        <v>8</v>
      </c>
      <c r="G123" s="6" t="n">
        <v>29.42</v>
      </c>
      <c r="H123" s="6" t="n">
        <v>31</v>
      </c>
      <c r="I123" s="6" t="n">
        <v>235.36</v>
      </c>
      <c r="J123" s="6" t="n">
        <v>204.36</v>
      </c>
    </row>
    <row collapsed="false" customFormat="false" customHeight="false" hidden="false" ht="12.1" outlineLevel="0" r="124">
      <c r="A124" s="35" t="n">
        <v>45371</v>
      </c>
      <c r="B124" s="16" t="s">
        <v>1375</v>
      </c>
      <c r="C124" s="16" t="s">
        <v>278</v>
      </c>
      <c r="D124" s="16" t="s">
        <v>279</v>
      </c>
      <c r="E124" s="6" t="n">
        <v>1000</v>
      </c>
      <c r="F124" s="7" t="n">
        <v>1</v>
      </c>
      <c r="G124" s="6" t="n">
        <v>14.54</v>
      </c>
      <c r="H124" s="6" t="n">
        <v>2</v>
      </c>
      <c r="I124" s="6" t="n">
        <v>14.54</v>
      </c>
      <c r="J124" s="6" t="n">
        <v>12.54</v>
      </c>
    </row>
    <row collapsed="false" customFormat="false" customHeight="false" hidden="false" ht="12.1" outlineLevel="0" r="125">
      <c r="A125" s="35" t="n">
        <v>45374</v>
      </c>
      <c r="B125" s="16" t="s">
        <v>1375</v>
      </c>
      <c r="C125" s="16" t="s">
        <v>199</v>
      </c>
      <c r="D125" s="16" t="s">
        <v>200</v>
      </c>
      <c r="E125" s="6" t="n">
        <v>1000</v>
      </c>
      <c r="F125" s="7" t="n">
        <v>2</v>
      </c>
      <c r="G125" s="6" t="n">
        <v>14.75</v>
      </c>
      <c r="H125" s="6" t="n">
        <v>4</v>
      </c>
      <c r="I125" s="6" t="n">
        <v>29.5</v>
      </c>
      <c r="J125" s="6" t="n">
        <v>25.5</v>
      </c>
    </row>
    <row collapsed="false" customFormat="false" customHeight="false" hidden="false" ht="12.1" outlineLevel="0" r="126">
      <c r="A126" s="35" t="n">
        <v>45376</v>
      </c>
      <c r="B126" s="16" t="s">
        <v>1375</v>
      </c>
      <c r="C126" s="16" t="s">
        <v>930</v>
      </c>
      <c r="D126" s="16" t="s">
        <v>1389</v>
      </c>
      <c r="E126" s="6" t="n">
        <v>675</v>
      </c>
      <c r="F126" s="7" t="n">
        <v>1</v>
      </c>
      <c r="G126" s="6" t="n">
        <v>17.67</v>
      </c>
      <c r="H126" s="6" t="n">
        <v>2</v>
      </c>
      <c r="I126" s="6" t="n">
        <v>17.67</v>
      </c>
      <c r="J126" s="6" t="n">
        <v>15.67</v>
      </c>
    </row>
    <row collapsed="false" customFormat="false" customHeight="false" hidden="false" ht="12.1" outlineLevel="0" r="127">
      <c r="A127" s="35" t="n">
        <v>45377</v>
      </c>
      <c r="B127" s="16" t="s">
        <v>1375</v>
      </c>
      <c r="C127" s="16" t="s">
        <v>157</v>
      </c>
      <c r="D127" s="16" t="s">
        <v>158</v>
      </c>
      <c r="E127" s="6" t="n">
        <v>1256.08</v>
      </c>
      <c r="F127" s="7" t="n">
        <v>4</v>
      </c>
      <c r="G127" s="6" t="n">
        <v>15.66</v>
      </c>
      <c r="H127" s="6" t="n">
        <v>8</v>
      </c>
      <c r="I127" s="6" t="n">
        <v>62.64</v>
      </c>
      <c r="J127" s="6" t="n">
        <v>54.64</v>
      </c>
    </row>
    <row collapsed="false" customFormat="false" customHeight="false" hidden="false" ht="12.1" outlineLevel="0" r="128">
      <c r="A128" s="35" t="n">
        <v>45377</v>
      </c>
      <c r="B128" s="16" t="s">
        <v>1375</v>
      </c>
      <c r="C128" s="16" t="s">
        <v>130</v>
      </c>
      <c r="D128" s="16" t="s">
        <v>131</v>
      </c>
      <c r="E128" s="6" t="n">
        <v>1000</v>
      </c>
      <c r="F128" s="7" t="n">
        <v>4</v>
      </c>
      <c r="G128" s="6" t="n">
        <v>47.47</v>
      </c>
      <c r="H128" s="6" t="n">
        <v>25</v>
      </c>
      <c r="I128" s="6" t="n">
        <v>189.88</v>
      </c>
      <c r="J128" s="6" t="n">
        <v>164.88</v>
      </c>
    </row>
    <row collapsed="false" customFormat="false" customHeight="false" hidden="false" ht="12.1" outlineLevel="0" r="129">
      <c r="A129" s="35" t="n">
        <v>45377</v>
      </c>
      <c r="B129" s="16" t="s">
        <v>1375</v>
      </c>
      <c r="C129" s="16" t="s">
        <v>133</v>
      </c>
      <c r="D129" s="16" t="s">
        <v>134</v>
      </c>
      <c r="E129" s="6" t="n">
        <v>1000</v>
      </c>
      <c r="F129" s="7" t="n">
        <v>2</v>
      </c>
      <c r="G129" s="6" t="n">
        <v>42.38</v>
      </c>
      <c r="H129" s="6" t="n">
        <v>11</v>
      </c>
      <c r="I129" s="6" t="n">
        <v>84.76</v>
      </c>
      <c r="J129" s="6" t="n">
        <v>73.76</v>
      </c>
    </row>
    <row collapsed="false" customFormat="false" customHeight="false" hidden="false" ht="12.1" outlineLevel="0" r="130">
      <c r="A130" s="35" t="n">
        <v>45384</v>
      </c>
      <c r="B130" s="16" t="s">
        <v>1375</v>
      </c>
      <c r="C130" s="16" t="s">
        <v>127</v>
      </c>
      <c r="D130" s="16" t="s">
        <v>128</v>
      </c>
      <c r="E130" s="6" t="n">
        <v>1000</v>
      </c>
      <c r="F130" s="7" t="n">
        <v>2</v>
      </c>
      <c r="G130" s="6" t="n">
        <v>38.39</v>
      </c>
      <c r="H130" s="6" t="n">
        <v>10</v>
      </c>
      <c r="I130" s="6" t="n">
        <v>76.78</v>
      </c>
      <c r="J130" s="6" t="n">
        <v>66.78</v>
      </c>
    </row>
    <row collapsed="false" customFormat="false" customHeight="false" hidden="false" ht="12.1" outlineLevel="0" r="131">
      <c r="A131" s="35" t="n">
        <v>45384</v>
      </c>
      <c r="B131" s="16" t="s">
        <v>1375</v>
      </c>
      <c r="C131" s="16" t="s">
        <v>106</v>
      </c>
      <c r="D131" s="16" t="s">
        <v>107</v>
      </c>
      <c r="E131" s="6" t="n">
        <v>1000</v>
      </c>
      <c r="F131" s="7" t="n">
        <v>13</v>
      </c>
      <c r="G131" s="6" t="n">
        <v>38.39</v>
      </c>
      <c r="H131" s="6" t="n">
        <v>65</v>
      </c>
      <c r="I131" s="6" t="n">
        <v>499.07</v>
      </c>
      <c r="J131" s="6" t="n">
        <v>434.07</v>
      </c>
    </row>
    <row collapsed="false" customFormat="false" customHeight="false" hidden="false" ht="12.1" outlineLevel="0" r="132">
      <c r="A132" s="35" t="n">
        <v>45385</v>
      </c>
      <c r="B132" s="16" t="s">
        <v>1375</v>
      </c>
      <c r="C132" s="16" t="s">
        <v>918</v>
      </c>
      <c r="D132" s="16" t="s">
        <v>1381</v>
      </c>
      <c r="E132" s="6" t="n">
        <v>400</v>
      </c>
      <c r="F132" s="7" t="n">
        <v>1</v>
      </c>
      <c r="G132" s="6" t="n">
        <v>13.96</v>
      </c>
      <c r="H132" s="6" t="n">
        <v>2</v>
      </c>
      <c r="I132" s="6" t="n">
        <v>13.96</v>
      </c>
      <c r="J132" s="6" t="n">
        <v>11.96</v>
      </c>
    </row>
    <row collapsed="false" customFormat="false" customHeight="false" hidden="false" ht="12.1" outlineLevel="0" r="133">
      <c r="A133" s="35" t="n">
        <v>45391</v>
      </c>
      <c r="B133" s="16" t="s">
        <v>1375</v>
      </c>
      <c r="C133" s="16" t="s">
        <v>142</v>
      </c>
      <c r="D133" s="16" t="s">
        <v>143</v>
      </c>
      <c r="E133" s="6" t="n">
        <v>1000</v>
      </c>
      <c r="F133" s="7" t="n">
        <v>2</v>
      </c>
      <c r="G133" s="6" t="n">
        <v>51.31</v>
      </c>
      <c r="H133" s="6" t="n">
        <v>13</v>
      </c>
      <c r="I133" s="6" t="n">
        <v>102.62</v>
      </c>
      <c r="J133" s="6" t="n">
        <v>89.62</v>
      </c>
    </row>
    <row collapsed="false" customFormat="false" customHeight="false" hidden="false" ht="12.1" outlineLevel="0" r="134">
      <c r="A134" s="35" t="n">
        <v>45398</v>
      </c>
      <c r="B134" s="16" t="s">
        <v>1375</v>
      </c>
      <c r="C134" s="16" t="s">
        <v>124</v>
      </c>
      <c r="D134" s="16" t="s">
        <v>125</v>
      </c>
      <c r="E134" s="6" t="n">
        <v>1000</v>
      </c>
      <c r="F134" s="7" t="n">
        <v>5</v>
      </c>
      <c r="G134" s="6" t="n">
        <v>38.15</v>
      </c>
      <c r="H134" s="6" t="n">
        <v>25</v>
      </c>
      <c r="I134" s="6" t="n">
        <v>190.75</v>
      </c>
      <c r="J134" s="6" t="n">
        <v>165.75</v>
      </c>
    </row>
    <row collapsed="false" customFormat="false" customHeight="false" hidden="false" ht="12.1" outlineLevel="0" r="135">
      <c r="A135" s="35" t="n">
        <v>45402</v>
      </c>
      <c r="B135" s="16" t="s">
        <v>1375</v>
      </c>
      <c r="C135" s="16" t="s">
        <v>278</v>
      </c>
      <c r="D135" s="16" t="s">
        <v>279</v>
      </c>
      <c r="E135" s="6" t="n">
        <v>1000</v>
      </c>
      <c r="F135" s="7" t="n">
        <v>1</v>
      </c>
      <c r="G135" s="6" t="n">
        <v>14.43</v>
      </c>
      <c r="H135" s="6" t="n">
        <v>2</v>
      </c>
      <c r="I135" s="6" t="n">
        <v>14.43</v>
      </c>
      <c r="J135" s="6" t="n">
        <v>12.43</v>
      </c>
    </row>
    <row collapsed="false" customFormat="false" customHeight="false" hidden="false" ht="12.1" outlineLevel="0" r="136">
      <c r="A136" s="35" t="n">
        <v>45404</v>
      </c>
      <c r="B136" s="16" t="s">
        <v>1375</v>
      </c>
      <c r="C136" s="16" t="s">
        <v>334</v>
      </c>
      <c r="D136" s="16" t="s">
        <v>335</v>
      </c>
      <c r="E136" s="6" t="n">
        <v>1000</v>
      </c>
      <c r="F136" s="7" t="n">
        <v>1</v>
      </c>
      <c r="G136" s="6" t="n">
        <v>34.28</v>
      </c>
      <c r="H136" s="6" t="n">
        <v>4</v>
      </c>
      <c r="I136" s="6" t="n">
        <v>34.28</v>
      </c>
      <c r="J136" s="6" t="n">
        <v>30.28</v>
      </c>
    </row>
    <row collapsed="false" customFormat="false" customHeight="false" hidden="false" ht="12.1" outlineLevel="0" r="137">
      <c r="A137" s="35" t="n">
        <v>45405</v>
      </c>
      <c r="B137" s="16" t="s">
        <v>1375</v>
      </c>
      <c r="C137" s="16" t="s">
        <v>199</v>
      </c>
      <c r="D137" s="16" t="s">
        <v>200</v>
      </c>
      <c r="E137" s="6" t="n">
        <v>1000</v>
      </c>
      <c r="F137" s="7" t="n">
        <v>2</v>
      </c>
      <c r="G137" s="6" t="n">
        <v>14.59</v>
      </c>
      <c r="H137" s="6" t="n">
        <v>4</v>
      </c>
      <c r="I137" s="6" t="n">
        <v>29.18</v>
      </c>
      <c r="J137" s="6" t="n">
        <v>25.18</v>
      </c>
    </row>
    <row collapsed="false" customFormat="false" customHeight="false" hidden="false" ht="12.1" outlineLevel="0" r="138">
      <c r="A138" s="35" t="n">
        <v>45405</v>
      </c>
      <c r="B138" s="16" t="s">
        <v>1375</v>
      </c>
      <c r="C138" s="16" t="s">
        <v>272</v>
      </c>
      <c r="D138" s="16" t="s">
        <v>273</v>
      </c>
      <c r="E138" s="6" t="n">
        <v>1000</v>
      </c>
      <c r="F138" s="7" t="n">
        <v>1</v>
      </c>
      <c r="G138" s="6" t="n">
        <v>43.1</v>
      </c>
      <c r="H138" s="6" t="n">
        <v>6</v>
      </c>
      <c r="I138" s="6" t="n">
        <v>43.1</v>
      </c>
      <c r="J138" s="6" t="n">
        <v>37.1</v>
      </c>
    </row>
    <row collapsed="false" customFormat="false" customHeight="false" hidden="false" ht="12.1" outlineLevel="0" r="139">
      <c r="A139" s="35" t="n">
        <v>45405</v>
      </c>
      <c r="B139" s="16" t="s">
        <v>1375</v>
      </c>
      <c r="C139" s="16" t="s">
        <v>915</v>
      </c>
      <c r="D139" s="16" t="s">
        <v>1382</v>
      </c>
      <c r="E139" s="6" t="n">
        <v>1000</v>
      </c>
      <c r="F139" s="7" t="n">
        <v>1</v>
      </c>
      <c r="G139" s="6" t="n">
        <v>39.13</v>
      </c>
      <c r="H139" s="6" t="n">
        <v>5</v>
      </c>
      <c r="I139" s="6" t="n">
        <v>39.13</v>
      </c>
      <c r="J139" s="6" t="n">
        <v>34.13</v>
      </c>
    </row>
    <row collapsed="false" customFormat="false" customHeight="false" hidden="false" ht="12.1" outlineLevel="0" r="140">
      <c r="A140" s="35" t="n">
        <v>45411</v>
      </c>
      <c r="B140" s="16" t="s">
        <v>1375</v>
      </c>
      <c r="C140" s="16" t="s">
        <v>290</v>
      </c>
      <c r="D140" s="16" t="s">
        <v>291</v>
      </c>
      <c r="E140" s="6" t="n">
        <v>1000</v>
      </c>
      <c r="F140" s="7" t="n">
        <v>1</v>
      </c>
      <c r="G140" s="6" t="n">
        <v>28.22</v>
      </c>
      <c r="H140" s="6" t="n">
        <v>4</v>
      </c>
      <c r="I140" s="6" t="n">
        <v>28.22</v>
      </c>
      <c r="J140" s="6" t="n">
        <v>24.22</v>
      </c>
    </row>
    <row collapsed="false" customFormat="false" customHeight="false" hidden="false" ht="12.1" outlineLevel="0" r="141">
      <c r="A141" s="35" t="n">
        <v>45412</v>
      </c>
      <c r="B141" s="16" t="s">
        <v>1375</v>
      </c>
      <c r="C141" s="16" t="s">
        <v>293</v>
      </c>
      <c r="D141" s="16" t="s">
        <v>294</v>
      </c>
      <c r="E141" s="6" t="n">
        <v>1000</v>
      </c>
      <c r="F141" s="7" t="n">
        <v>1</v>
      </c>
      <c r="G141" s="6" t="n">
        <v>39.1</v>
      </c>
      <c r="H141" s="6" t="n">
        <v>5</v>
      </c>
      <c r="I141" s="6" t="n">
        <v>39.1</v>
      </c>
      <c r="J141" s="6" t="n">
        <v>34.1</v>
      </c>
    </row>
    <row collapsed="false" customFormat="false" customHeight="false" hidden="false" ht="12.1" outlineLevel="0" r="142">
      <c r="A142" s="35" t="n">
        <v>45413</v>
      </c>
      <c r="B142" s="16" t="s">
        <v>1375</v>
      </c>
      <c r="C142" s="16" t="s">
        <v>916</v>
      </c>
      <c r="D142" s="16" t="s">
        <v>1383</v>
      </c>
      <c r="E142" s="6" t="n">
        <v>1000</v>
      </c>
      <c r="F142" s="7" t="n">
        <v>1</v>
      </c>
      <c r="G142" s="6" t="n">
        <v>42.38</v>
      </c>
      <c r="H142" s="6" t="n">
        <v>6</v>
      </c>
      <c r="I142" s="6" t="n">
        <v>42.38</v>
      </c>
      <c r="J142" s="6" t="n">
        <v>36.38</v>
      </c>
    </row>
    <row collapsed="false" customFormat="false" customHeight="false" hidden="false" ht="12.1" outlineLevel="0" r="143">
      <c r="A143" s="35" t="n">
        <v>45426</v>
      </c>
      <c r="B143" s="16" t="s">
        <v>1375</v>
      </c>
      <c r="C143" s="16" t="s">
        <v>935</v>
      </c>
      <c r="D143" s="16" t="s">
        <v>1393</v>
      </c>
      <c r="E143" s="6" t="n">
        <v>300</v>
      </c>
      <c r="F143" s="7" t="n">
        <v>1</v>
      </c>
      <c r="G143" s="6" t="n">
        <v>4.67</v>
      </c>
      <c r="H143" s="6" t="n">
        <v>1</v>
      </c>
      <c r="I143" s="6" t="n">
        <v>4.67</v>
      </c>
      <c r="J143" s="6" t="n">
        <v>3.67</v>
      </c>
    </row>
    <row collapsed="false" customFormat="false" customHeight="false" hidden="false" ht="12.1" outlineLevel="0" r="144">
      <c r="A144" s="35" t="n">
        <v>45426</v>
      </c>
      <c r="B144" s="16" t="s">
        <v>1375</v>
      </c>
      <c r="C144" s="16" t="s">
        <v>109</v>
      </c>
      <c r="D144" s="16" t="s">
        <v>110</v>
      </c>
      <c r="E144" s="6" t="n">
        <v>1000</v>
      </c>
      <c r="F144" s="7" t="n">
        <v>3</v>
      </c>
      <c r="G144" s="6" t="n">
        <v>57.84</v>
      </c>
      <c r="H144" s="6" t="n">
        <v>23</v>
      </c>
      <c r="I144" s="6" t="n">
        <v>173.52</v>
      </c>
      <c r="J144" s="6" t="n">
        <v>150.52</v>
      </c>
    </row>
    <row collapsed="false" customFormat="false" customHeight="false" hidden="false" ht="12.1" outlineLevel="0" r="145">
      <c r="A145" s="35" t="n">
        <v>45431</v>
      </c>
      <c r="B145" s="16" t="s">
        <v>1375</v>
      </c>
      <c r="C145" s="16" t="s">
        <v>923</v>
      </c>
      <c r="D145" s="16" t="s">
        <v>1385</v>
      </c>
      <c r="E145" s="6" t="n">
        <v>1000</v>
      </c>
      <c r="F145" s="7" t="n">
        <v>2</v>
      </c>
      <c r="G145" s="6" t="n">
        <v>32.41</v>
      </c>
      <c r="H145" s="6" t="n">
        <v>8</v>
      </c>
      <c r="I145" s="6" t="n">
        <v>64.82</v>
      </c>
      <c r="J145" s="6" t="n">
        <v>56.82</v>
      </c>
    </row>
    <row collapsed="false" customFormat="false" customHeight="false" hidden="false" ht="12.1" outlineLevel="0" r="146">
      <c r="A146" s="35" t="n">
        <v>45433</v>
      </c>
      <c r="B146" s="16" t="s">
        <v>1375</v>
      </c>
      <c r="C146" s="16" t="s">
        <v>278</v>
      </c>
      <c r="D146" s="16" t="s">
        <v>279</v>
      </c>
      <c r="E146" s="6" t="n">
        <v>1000</v>
      </c>
      <c r="F146" s="7" t="n">
        <v>1</v>
      </c>
      <c r="G146" s="6" t="n">
        <v>14.4</v>
      </c>
      <c r="H146" s="6" t="n">
        <v>2</v>
      </c>
      <c r="I146" s="6" t="n">
        <v>14.4</v>
      </c>
      <c r="J146" s="6" t="n">
        <v>12.4</v>
      </c>
    </row>
    <row collapsed="false" customFormat="false" customHeight="false" hidden="false" ht="12.1" outlineLevel="0" r="147">
      <c r="A147" s="35" t="n">
        <v>45433</v>
      </c>
      <c r="B147" s="16" t="s">
        <v>1375</v>
      </c>
      <c r="C147" s="16" t="s">
        <v>136</v>
      </c>
      <c r="D147" s="16" t="s">
        <v>137</v>
      </c>
      <c r="E147" s="6" t="n">
        <v>1000</v>
      </c>
      <c r="F147" s="7" t="n">
        <v>9</v>
      </c>
      <c r="G147" s="6" t="n">
        <v>36.15</v>
      </c>
      <c r="H147" s="6" t="n">
        <v>42</v>
      </c>
      <c r="I147" s="6" t="n">
        <v>325.35</v>
      </c>
      <c r="J147" s="6" t="n">
        <v>283.35</v>
      </c>
    </row>
    <row collapsed="false" customFormat="false" customHeight="false" hidden="false" ht="12.1" outlineLevel="0" r="148">
      <c r="A148" s="35" t="n">
        <v>45433</v>
      </c>
      <c r="B148" s="16" t="s">
        <v>1375</v>
      </c>
      <c r="C148" s="16" t="s">
        <v>917</v>
      </c>
      <c r="D148" s="16" t="s">
        <v>1380</v>
      </c>
      <c r="E148" s="6" t="n">
        <v>250</v>
      </c>
      <c r="F148" s="7" t="n">
        <v>1</v>
      </c>
      <c r="G148" s="6" t="n">
        <v>5.36</v>
      </c>
      <c r="H148" s="6" t="n">
        <v>1</v>
      </c>
      <c r="I148" s="6" t="n">
        <v>5.36</v>
      </c>
      <c r="J148" s="6" t="n">
        <v>4.36</v>
      </c>
    </row>
    <row collapsed="false" customFormat="false" customHeight="false" hidden="false" ht="12.1" outlineLevel="0" r="149">
      <c r="A149" s="35" t="n">
        <v>45433</v>
      </c>
      <c r="B149" s="16" t="s">
        <v>1375</v>
      </c>
      <c r="C149" s="16" t="s">
        <v>139</v>
      </c>
      <c r="D149" s="16" t="s">
        <v>140</v>
      </c>
      <c r="E149" s="6" t="n">
        <v>1093.08</v>
      </c>
      <c r="F149" s="7" t="n">
        <v>6</v>
      </c>
      <c r="G149" s="6" t="n">
        <v>13.63</v>
      </c>
      <c r="H149" s="6" t="n">
        <v>11</v>
      </c>
      <c r="I149" s="6" t="n">
        <v>81.78</v>
      </c>
      <c r="J149" s="6" t="n">
        <v>70.78</v>
      </c>
    </row>
    <row collapsed="false" customFormat="false" customHeight="false" hidden="false" ht="12.1" outlineLevel="0" r="150">
      <c r="A150" s="35" t="n">
        <v>45434</v>
      </c>
      <c r="B150" s="16" t="s">
        <v>1375</v>
      </c>
      <c r="C150" s="16" t="s">
        <v>331</v>
      </c>
      <c r="D150" s="16" t="s">
        <v>332</v>
      </c>
      <c r="E150" s="6" t="n">
        <v>500</v>
      </c>
      <c r="F150" s="7" t="n">
        <v>1</v>
      </c>
      <c r="G150" s="6" t="n">
        <v>8.66</v>
      </c>
      <c r="H150" s="6" t="n">
        <v>1</v>
      </c>
      <c r="I150" s="6" t="n">
        <v>8.66</v>
      </c>
      <c r="J150" s="6" t="n">
        <v>7.66</v>
      </c>
    </row>
    <row collapsed="false" customFormat="false" customHeight="false" hidden="false" ht="12.1" outlineLevel="0" r="151">
      <c r="A151" s="35" t="n">
        <v>45436</v>
      </c>
      <c r="B151" s="16" t="s">
        <v>1375</v>
      </c>
      <c r="C151" s="16" t="s">
        <v>199</v>
      </c>
      <c r="D151" s="16" t="s">
        <v>200</v>
      </c>
      <c r="E151" s="6" t="n">
        <v>1000</v>
      </c>
      <c r="F151" s="7" t="n">
        <v>2</v>
      </c>
      <c r="G151" s="6" t="n">
        <v>14.57</v>
      </c>
      <c r="H151" s="6" t="n">
        <v>4</v>
      </c>
      <c r="I151" s="6" t="n">
        <v>29.14</v>
      </c>
      <c r="J151" s="6" t="n">
        <v>25.14</v>
      </c>
    </row>
    <row collapsed="false" customFormat="false" customHeight="false" hidden="false" ht="12.1" outlineLevel="0" r="152">
      <c r="A152" s="35" t="n">
        <v>45440</v>
      </c>
      <c r="B152" s="16" t="s">
        <v>1375</v>
      </c>
      <c r="C152" s="16" t="s">
        <v>118</v>
      </c>
      <c r="D152" s="16" t="s">
        <v>119</v>
      </c>
      <c r="E152" s="6" t="n">
        <v>1000</v>
      </c>
      <c r="F152" s="7" t="n">
        <v>6</v>
      </c>
      <c r="G152" s="6" t="n">
        <v>47.37</v>
      </c>
      <c r="H152" s="6" t="n">
        <v>37</v>
      </c>
      <c r="I152" s="6" t="n">
        <v>284.22</v>
      </c>
      <c r="J152" s="6" t="n">
        <v>247.22</v>
      </c>
    </row>
    <row collapsed="false" customFormat="false" customHeight="false" hidden="false" ht="12.1" outlineLevel="0" r="153">
      <c r="A153" s="35" t="n">
        <v>45442</v>
      </c>
      <c r="B153" s="16" t="s">
        <v>1375</v>
      </c>
      <c r="C153" s="16" t="s">
        <v>260</v>
      </c>
      <c r="D153" s="16" t="s">
        <v>261</v>
      </c>
      <c r="E153" s="6" t="n">
        <v>1000</v>
      </c>
      <c r="F153" s="7" t="n">
        <v>1</v>
      </c>
      <c r="G153" s="6" t="n">
        <v>24.81</v>
      </c>
      <c r="H153" s="6" t="n">
        <v>3</v>
      </c>
      <c r="I153" s="6" t="n">
        <v>24.81</v>
      </c>
      <c r="J153" s="6" t="n">
        <v>21.81</v>
      </c>
    </row>
    <row collapsed="false" customFormat="false" customHeight="false" hidden="false" ht="12.1" outlineLevel="0" r="154">
      <c r="A154" s="35" t="n">
        <v>45445</v>
      </c>
      <c r="B154" s="16" t="s">
        <v>1375</v>
      </c>
      <c r="C154" s="16" t="s">
        <v>196</v>
      </c>
      <c r="D154" s="16" t="s">
        <v>197</v>
      </c>
      <c r="E154" s="6" t="n">
        <v>1000</v>
      </c>
      <c r="F154" s="7" t="n">
        <v>1</v>
      </c>
      <c r="G154" s="6" t="n">
        <v>19.95</v>
      </c>
      <c r="H154" s="6" t="n">
        <v>3</v>
      </c>
      <c r="I154" s="6" t="n">
        <v>19.95</v>
      </c>
      <c r="J154" s="6" t="n">
        <v>16.95</v>
      </c>
    </row>
    <row collapsed="false" customFormat="false" customHeight="false" hidden="false" ht="12.1" outlineLevel="0" r="155">
      <c r="A155" s="35" t="n">
        <v>45446</v>
      </c>
      <c r="B155" s="16" t="s">
        <v>1375</v>
      </c>
      <c r="C155" s="16" t="s">
        <v>211</v>
      </c>
      <c r="D155" s="16" t="s">
        <v>212</v>
      </c>
      <c r="E155" s="6" t="n">
        <v>1000</v>
      </c>
      <c r="F155" s="7" t="n">
        <v>1</v>
      </c>
      <c r="G155" s="6" t="n">
        <v>56.1</v>
      </c>
      <c r="H155" s="6" t="n">
        <v>7</v>
      </c>
      <c r="I155" s="6" t="n">
        <v>56.1</v>
      </c>
      <c r="J155" s="6" t="n">
        <v>49.1</v>
      </c>
    </row>
    <row collapsed="false" customFormat="false" customHeight="false" hidden="false" ht="12.1" outlineLevel="0" r="156">
      <c r="A156" s="35" t="n">
        <v>45447</v>
      </c>
      <c r="B156" s="16" t="s">
        <v>1375</v>
      </c>
      <c r="C156" s="16" t="s">
        <v>924</v>
      </c>
      <c r="D156" s="16" t="s">
        <v>1386</v>
      </c>
      <c r="E156" s="6" t="n">
        <v>1000</v>
      </c>
      <c r="F156" s="7" t="n">
        <v>2</v>
      </c>
      <c r="G156" s="6" t="n">
        <v>32.66</v>
      </c>
      <c r="H156" s="6" t="n">
        <v>8</v>
      </c>
      <c r="I156" s="6" t="n">
        <v>65.32</v>
      </c>
      <c r="J156" s="6" t="n">
        <v>57.32</v>
      </c>
    </row>
    <row collapsed="false" customFormat="false" customHeight="false" hidden="false" ht="12.1" outlineLevel="0" r="157">
      <c r="A157" s="35" t="n">
        <v>45447</v>
      </c>
      <c r="B157" s="16" t="s">
        <v>1375</v>
      </c>
      <c r="C157" s="16" t="s">
        <v>329</v>
      </c>
      <c r="D157" s="16" t="s">
        <v>330</v>
      </c>
      <c r="E157" s="6" t="n">
        <v>1000</v>
      </c>
      <c r="F157" s="7" t="n">
        <v>1</v>
      </c>
      <c r="G157" s="6" t="n">
        <v>19.87</v>
      </c>
      <c r="H157" s="6" t="n">
        <v>3</v>
      </c>
      <c r="I157" s="6" t="n">
        <v>19.87</v>
      </c>
      <c r="J157" s="6" t="n">
        <v>16.87</v>
      </c>
    </row>
    <row collapsed="false" customFormat="false" customHeight="false" hidden="false" ht="12.1" outlineLevel="0" r="158">
      <c r="A158" s="35" t="n">
        <v>45447</v>
      </c>
      <c r="B158" s="16" t="s">
        <v>1375</v>
      </c>
      <c r="C158" s="16" t="s">
        <v>91</v>
      </c>
      <c r="D158" s="16" t="s">
        <v>92</v>
      </c>
      <c r="E158" s="6" t="n">
        <v>1000</v>
      </c>
      <c r="F158" s="7" t="n">
        <v>8</v>
      </c>
      <c r="G158" s="6" t="n">
        <v>48.87</v>
      </c>
      <c r="H158" s="6" t="n">
        <v>51</v>
      </c>
      <c r="I158" s="6" t="n">
        <v>390.96</v>
      </c>
      <c r="J158" s="6" t="n">
        <v>339.96</v>
      </c>
    </row>
    <row collapsed="false" customFormat="false" customHeight="false" hidden="false" ht="12.1" outlineLevel="0" r="159">
      <c r="A159" s="35" t="n">
        <v>45447</v>
      </c>
      <c r="B159" s="16" t="s">
        <v>1375</v>
      </c>
      <c r="C159" s="16" t="s">
        <v>94</v>
      </c>
      <c r="D159" s="16" t="s">
        <v>95</v>
      </c>
      <c r="E159" s="6" t="n">
        <v>1000</v>
      </c>
      <c r="F159" s="7" t="n">
        <v>18</v>
      </c>
      <c r="G159" s="6" t="n">
        <v>35.4</v>
      </c>
      <c r="H159" s="6" t="n">
        <v>83</v>
      </c>
      <c r="I159" s="6" t="n">
        <v>637.2</v>
      </c>
      <c r="J159" s="6" t="n">
        <v>554.2</v>
      </c>
    </row>
    <row collapsed="false" customFormat="false" customHeight="false" hidden="false" ht="12.1" outlineLevel="0" r="160">
      <c r="A160" s="35" t="n">
        <v>45448</v>
      </c>
      <c r="B160" s="16" t="s">
        <v>1375</v>
      </c>
      <c r="C160" s="16" t="s">
        <v>934</v>
      </c>
      <c r="D160" s="16" t="s">
        <v>1392</v>
      </c>
      <c r="E160" s="6" t="n">
        <v>531</v>
      </c>
      <c r="F160" s="7" t="n">
        <v>1</v>
      </c>
      <c r="G160" s="6" t="n">
        <v>13.11</v>
      </c>
      <c r="H160" s="6" t="n">
        <v>2</v>
      </c>
      <c r="I160" s="6" t="n">
        <v>13.11</v>
      </c>
      <c r="J160" s="6" t="n">
        <v>11.11</v>
      </c>
    </row>
    <row collapsed="false" customFormat="false" customHeight="false" hidden="false" ht="12.1" outlineLevel="0" r="161">
      <c r="A161" s="35" t="n">
        <v>45453</v>
      </c>
      <c r="B161" s="16" t="s">
        <v>1375</v>
      </c>
      <c r="C161" s="16" t="s">
        <v>926</v>
      </c>
      <c r="D161" s="16" t="s">
        <v>1387</v>
      </c>
      <c r="E161" s="6" t="n">
        <v>895</v>
      </c>
      <c r="F161" s="7" t="n">
        <v>1</v>
      </c>
      <c r="G161" s="6" t="n">
        <v>30.12</v>
      </c>
      <c r="H161" s="6" t="n">
        <v>4</v>
      </c>
      <c r="I161" s="6" t="n">
        <v>30.12</v>
      </c>
      <c r="J161" s="6" t="n">
        <v>26.12</v>
      </c>
    </row>
    <row collapsed="false" customFormat="false" customHeight="false" hidden="false" ht="12.1" outlineLevel="0" r="162">
      <c r="A162" s="35" t="n">
        <v>45461</v>
      </c>
      <c r="B162" s="16" t="s">
        <v>1375</v>
      </c>
      <c r="C162" s="16" t="s">
        <v>88</v>
      </c>
      <c r="D162" s="16" t="s">
        <v>89</v>
      </c>
      <c r="E162" s="6" t="n">
        <v>1000</v>
      </c>
      <c r="F162" s="7" t="n">
        <v>7</v>
      </c>
      <c r="G162" s="6" t="n">
        <v>65.77</v>
      </c>
      <c r="H162" s="6" t="n">
        <v>60</v>
      </c>
      <c r="I162" s="6" t="n">
        <v>460.39</v>
      </c>
      <c r="J162" s="6" t="n">
        <v>400.39</v>
      </c>
    </row>
    <row collapsed="false" customFormat="false" customHeight="false" hidden="false" ht="12.1" outlineLevel="0" r="163">
      <c r="A163" s="35" t="n">
        <v>45464</v>
      </c>
      <c r="B163" s="16" t="s">
        <v>1375</v>
      </c>
      <c r="C163" s="16" t="s">
        <v>278</v>
      </c>
      <c r="D163" s="16" t="s">
        <v>279</v>
      </c>
      <c r="E163" s="6" t="n">
        <v>1000</v>
      </c>
      <c r="F163" s="7" t="n">
        <v>1</v>
      </c>
      <c r="G163" s="6" t="n">
        <v>14.58</v>
      </c>
      <c r="H163" s="6" t="n">
        <v>2</v>
      </c>
      <c r="I163" s="6" t="n">
        <v>14.58</v>
      </c>
      <c r="J163" s="6" t="n">
        <v>12.58</v>
      </c>
    </row>
    <row collapsed="false" customFormat="false" customHeight="false" hidden="false" ht="12.1" outlineLevel="0" r="164">
      <c r="A164" s="35" t="n">
        <v>45467</v>
      </c>
      <c r="B164" s="16" t="s">
        <v>1375</v>
      </c>
      <c r="C164" s="16" t="s">
        <v>930</v>
      </c>
      <c r="D164" s="16" t="s">
        <v>1389</v>
      </c>
      <c r="E164" s="6" t="n">
        <v>600</v>
      </c>
      <c r="F164" s="7" t="n">
        <v>1</v>
      </c>
      <c r="G164" s="6" t="n">
        <v>15.71</v>
      </c>
      <c r="H164" s="6" t="n">
        <v>2</v>
      </c>
      <c r="I164" s="6" t="n">
        <v>15.71</v>
      </c>
      <c r="J164" s="6" t="n">
        <v>13.71</v>
      </c>
    </row>
    <row collapsed="false" customFormat="false" customHeight="false" hidden="false" ht="12.1" outlineLevel="0" r="165">
      <c r="A165" s="35" t="n">
        <v>45467</v>
      </c>
      <c r="B165" s="16" t="s">
        <v>1375</v>
      </c>
      <c r="C165" s="16" t="s">
        <v>199</v>
      </c>
      <c r="D165" s="16" t="s">
        <v>200</v>
      </c>
      <c r="E165" s="6" t="n">
        <v>1000</v>
      </c>
      <c r="F165" s="7" t="n">
        <v>2</v>
      </c>
      <c r="G165" s="6" t="n">
        <v>14.76</v>
      </c>
      <c r="H165" s="6" t="n">
        <v>4</v>
      </c>
      <c r="I165" s="6" t="n">
        <v>29.52</v>
      </c>
      <c r="J165" s="6" t="n">
        <v>25.52</v>
      </c>
    </row>
    <row collapsed="false" customFormat="false" customHeight="false" hidden="false" ht="12.1" outlineLevel="0" r="166">
      <c r="A166" s="35" t="n">
        <v>45470</v>
      </c>
      <c r="B166" s="16" t="s">
        <v>1375</v>
      </c>
      <c r="C166" s="16" t="s">
        <v>296</v>
      </c>
      <c r="D166" s="16" t="s">
        <v>297</v>
      </c>
      <c r="E166" s="6" t="n">
        <v>1000</v>
      </c>
      <c r="F166" s="7" t="n">
        <v>2</v>
      </c>
      <c r="G166" s="6" t="n">
        <v>32.91</v>
      </c>
      <c r="H166" s="6" t="n">
        <v>9</v>
      </c>
      <c r="I166" s="6" t="n">
        <v>65.82</v>
      </c>
      <c r="J166" s="6" t="n">
        <v>56.82</v>
      </c>
    </row>
    <row collapsed="false" customFormat="false" customHeight="false" hidden="false" ht="12.1" outlineLevel="0" r="167">
      <c r="A167" s="35" t="n">
        <v>45476</v>
      </c>
      <c r="B167" s="16" t="s">
        <v>1375</v>
      </c>
      <c r="C167" s="16" t="s">
        <v>918</v>
      </c>
      <c r="D167" s="16" t="s">
        <v>1381</v>
      </c>
      <c r="E167" s="6" t="n">
        <v>400</v>
      </c>
      <c r="F167" s="7" t="n">
        <v>1</v>
      </c>
      <c r="G167" s="6" t="n">
        <v>13.96</v>
      </c>
      <c r="H167" s="6" t="n">
        <v>2</v>
      </c>
      <c r="I167" s="6" t="n">
        <v>13.96</v>
      </c>
      <c r="J167" s="6" t="n">
        <v>11.96</v>
      </c>
    </row>
    <row collapsed="false" customFormat="false" customHeight="false" hidden="false" ht="12.1" outlineLevel="0" r="168">
      <c r="A168" s="35" t="n">
        <v>45489</v>
      </c>
      <c r="B168" s="16" t="s">
        <v>1375</v>
      </c>
      <c r="C168" s="16" t="s">
        <v>931</v>
      </c>
      <c r="D168" s="16" t="s">
        <v>1390</v>
      </c>
      <c r="E168" s="6" t="n">
        <v>1000</v>
      </c>
      <c r="F168" s="7" t="n">
        <v>2</v>
      </c>
      <c r="G168" s="6" t="n">
        <v>22.44</v>
      </c>
      <c r="H168" s="6" t="n">
        <v>6</v>
      </c>
      <c r="I168" s="6" t="n">
        <v>44.88</v>
      </c>
      <c r="J168" s="6" t="n">
        <v>38.88</v>
      </c>
    </row>
    <row collapsed="false" customFormat="false" customHeight="false" hidden="false" ht="12.1" outlineLevel="0" r="169">
      <c r="A169" s="35" t="n">
        <v>45495</v>
      </c>
      <c r="B169" s="16" t="s">
        <v>1375</v>
      </c>
      <c r="C169" s="16" t="s">
        <v>278</v>
      </c>
      <c r="D169" s="16" t="s">
        <v>279</v>
      </c>
      <c r="E169" s="6" t="n">
        <v>1000</v>
      </c>
      <c r="F169" s="7" t="n">
        <v>1</v>
      </c>
      <c r="G169" s="6" t="n">
        <v>14.59</v>
      </c>
      <c r="H169" s="6" t="n">
        <v>2</v>
      </c>
      <c r="I169" s="6" t="n">
        <v>14.59</v>
      </c>
      <c r="J169" s="6" t="n">
        <v>12.59</v>
      </c>
    </row>
    <row collapsed="false" customFormat="false" customHeight="false" hidden="false" ht="12.1" outlineLevel="0" r="170">
      <c r="A170" s="35" t="n">
        <v>45495</v>
      </c>
      <c r="B170" s="16" t="s">
        <v>1375</v>
      </c>
      <c r="C170" s="16" t="s">
        <v>334</v>
      </c>
      <c r="D170" s="16" t="s">
        <v>335</v>
      </c>
      <c r="E170" s="6" t="n">
        <v>1000</v>
      </c>
      <c r="F170" s="7" t="n">
        <v>1</v>
      </c>
      <c r="G170" s="6" t="n">
        <v>34.28</v>
      </c>
      <c r="H170" s="6" t="n">
        <v>4</v>
      </c>
      <c r="I170" s="6" t="n">
        <v>34.28</v>
      </c>
      <c r="J170" s="6" t="n">
        <v>30.28</v>
      </c>
    </row>
    <row collapsed="false" customFormat="false" customHeight="false" hidden="false" ht="12.1" outlineLevel="0" r="171">
      <c r="A171" s="35" t="n">
        <v>45496</v>
      </c>
      <c r="B171" s="16" t="s">
        <v>1375</v>
      </c>
      <c r="C171" s="16" t="s">
        <v>287</v>
      </c>
      <c r="D171" s="16" t="s">
        <v>288</v>
      </c>
      <c r="E171" s="6" t="n">
        <v>1000</v>
      </c>
      <c r="F171" s="7" t="n">
        <v>1</v>
      </c>
      <c r="G171" s="6" t="n">
        <v>43.38</v>
      </c>
      <c r="H171" s="6" t="n">
        <v>6</v>
      </c>
      <c r="I171" s="6" t="n">
        <v>43.38</v>
      </c>
      <c r="J171" s="6" t="n">
        <v>37.38</v>
      </c>
    </row>
    <row collapsed="false" customFormat="false" customHeight="false" hidden="false" ht="12.1" outlineLevel="0" r="172">
      <c r="A172" s="35" t="n">
        <v>45496</v>
      </c>
      <c r="B172" s="16" t="s">
        <v>1375</v>
      </c>
      <c r="C172" s="16" t="s">
        <v>272</v>
      </c>
      <c r="D172" s="16" t="s">
        <v>273</v>
      </c>
      <c r="E172" s="6" t="n">
        <v>1000</v>
      </c>
      <c r="F172" s="7" t="n">
        <v>1</v>
      </c>
      <c r="G172" s="6" t="n">
        <v>43.42</v>
      </c>
      <c r="H172" s="6" t="n">
        <v>6</v>
      </c>
      <c r="I172" s="6" t="n">
        <v>43.42</v>
      </c>
      <c r="J172" s="6" t="n">
        <v>37.42</v>
      </c>
    </row>
    <row collapsed="false" customFormat="false" customHeight="false" hidden="false" ht="12.1" outlineLevel="0" r="173">
      <c r="A173" s="35" t="n">
        <v>45498</v>
      </c>
      <c r="B173" s="16" t="s">
        <v>1375</v>
      </c>
      <c r="C173" s="16" t="s">
        <v>929</v>
      </c>
      <c r="D173" s="16" t="s">
        <v>1391</v>
      </c>
      <c r="E173" s="6" t="n">
        <v>1000</v>
      </c>
      <c r="F173" s="7" t="n">
        <v>1</v>
      </c>
      <c r="G173" s="6" t="n">
        <v>47.12</v>
      </c>
      <c r="H173" s="6" t="n">
        <v>6</v>
      </c>
      <c r="I173" s="6" t="n">
        <v>47.12</v>
      </c>
      <c r="J173" s="6" t="n">
        <v>41.12</v>
      </c>
    </row>
    <row collapsed="false" customFormat="false" customHeight="false" hidden="false" ht="12.1" outlineLevel="0" r="174">
      <c r="A174" s="35" t="n">
        <v>45498</v>
      </c>
      <c r="B174" s="16" t="s">
        <v>1375</v>
      </c>
      <c r="C174" s="16" t="s">
        <v>199</v>
      </c>
      <c r="D174" s="16" t="s">
        <v>200</v>
      </c>
      <c r="E174" s="6" t="n">
        <v>1000</v>
      </c>
      <c r="F174" s="7" t="n">
        <v>2</v>
      </c>
      <c r="G174" s="6" t="n">
        <v>14.74</v>
      </c>
      <c r="H174" s="6" t="n">
        <v>4</v>
      </c>
      <c r="I174" s="6" t="n">
        <v>29.48</v>
      </c>
      <c r="J174" s="6" t="n">
        <v>25.48</v>
      </c>
    </row>
    <row collapsed="false" customFormat="false" customHeight="false" hidden="false" ht="12.1" outlineLevel="0" r="175">
      <c r="A175" s="35" t="n">
        <v>45501</v>
      </c>
      <c r="B175" s="16" t="s">
        <v>1375</v>
      </c>
      <c r="C175" s="16" t="s">
        <v>202</v>
      </c>
      <c r="D175" s="16" t="s">
        <v>203</v>
      </c>
      <c r="E175" s="6" t="n">
        <v>1000</v>
      </c>
      <c r="F175" s="7" t="n">
        <v>2</v>
      </c>
      <c r="G175" s="6" t="n">
        <v>14.05</v>
      </c>
      <c r="H175" s="6" t="n">
        <v>4</v>
      </c>
      <c r="I175" s="6" t="n">
        <v>28.1</v>
      </c>
      <c r="J175" s="6" t="n">
        <v>24.1</v>
      </c>
    </row>
    <row collapsed="false" customFormat="false" customHeight="false" hidden="false" ht="12.1" outlineLevel="0" r="176">
      <c r="A176" s="35" t="n">
        <v>45502</v>
      </c>
      <c r="B176" s="16" t="s">
        <v>1375</v>
      </c>
      <c r="C176" s="16" t="s">
        <v>226</v>
      </c>
      <c r="D176" s="16" t="s">
        <v>227</v>
      </c>
      <c r="E176" s="6" t="n">
        <v>1000</v>
      </c>
      <c r="F176" s="7" t="n">
        <v>1</v>
      </c>
      <c r="G176" s="6" t="n">
        <v>29.17</v>
      </c>
      <c r="H176" s="6" t="n">
        <v>4</v>
      </c>
      <c r="I176" s="6" t="n">
        <v>29.17</v>
      </c>
      <c r="J176" s="6" t="n">
        <v>25.17</v>
      </c>
    </row>
    <row collapsed="false" customFormat="false" customHeight="false" hidden="false" ht="12.1" outlineLevel="0" r="177">
      <c r="A177" s="35" t="n">
        <v>45502</v>
      </c>
      <c r="B177" s="16" t="s">
        <v>1375</v>
      </c>
      <c r="C177" s="16" t="s">
        <v>290</v>
      </c>
      <c r="D177" s="16" t="s">
        <v>291</v>
      </c>
      <c r="E177" s="6" t="n">
        <v>1000</v>
      </c>
      <c r="F177" s="7" t="n">
        <v>1</v>
      </c>
      <c r="G177" s="6" t="n">
        <v>28.22</v>
      </c>
      <c r="H177" s="6" t="n">
        <v>4</v>
      </c>
      <c r="I177" s="6" t="n">
        <v>28.22</v>
      </c>
      <c r="J177" s="6" t="n">
        <v>24.22</v>
      </c>
    </row>
    <row collapsed="false" customFormat="false" customHeight="false" hidden="false" ht="12.1" outlineLevel="0" r="178">
      <c r="A178" s="35" t="n">
        <v>45503</v>
      </c>
      <c r="B178" s="16" t="s">
        <v>1375</v>
      </c>
      <c r="C178" s="16" t="s">
        <v>922</v>
      </c>
      <c r="D178" s="16" t="s">
        <v>1384</v>
      </c>
      <c r="E178" s="6" t="n">
        <v>1000</v>
      </c>
      <c r="F178" s="7" t="n">
        <v>1</v>
      </c>
      <c r="G178" s="6" t="n">
        <v>72.6</v>
      </c>
      <c r="H178" s="6" t="n">
        <v>9</v>
      </c>
      <c r="I178" s="6" t="n">
        <v>72.6</v>
      </c>
      <c r="J178" s="6" t="n">
        <v>63.6</v>
      </c>
    </row>
    <row collapsed="false" customFormat="false" customHeight="false" hidden="false" ht="12.1" outlineLevel="0" r="179">
      <c r="A179" s="35" t="n">
        <v>45503</v>
      </c>
      <c r="B179" s="16" t="s">
        <v>1375</v>
      </c>
      <c r="C179" s="16" t="s">
        <v>154</v>
      </c>
      <c r="D179" s="16" t="s">
        <v>155</v>
      </c>
      <c r="E179" s="6" t="n">
        <v>1000</v>
      </c>
      <c r="F179" s="7" t="n">
        <v>1</v>
      </c>
      <c r="G179" s="6" t="n">
        <v>34.41</v>
      </c>
      <c r="H179" s="6" t="n">
        <v>4</v>
      </c>
      <c r="I179" s="6" t="n">
        <v>34.41</v>
      </c>
      <c r="J179" s="6" t="n">
        <v>30.41</v>
      </c>
    </row>
    <row collapsed="false" customFormat="false" customHeight="false" hidden="false" ht="12.1" outlineLevel="0" r="180">
      <c r="A180" s="35" t="n">
        <v>45503</v>
      </c>
      <c r="B180" s="16" t="s">
        <v>1375</v>
      </c>
      <c r="C180" s="16" t="s">
        <v>84</v>
      </c>
      <c r="D180" s="16" t="s">
        <v>86</v>
      </c>
      <c r="E180" s="6" t="n">
        <v>1000</v>
      </c>
      <c r="F180" s="7" t="n">
        <v>30</v>
      </c>
      <c r="G180" s="6" t="n">
        <v>30.42</v>
      </c>
      <c r="H180" s="6" t="n">
        <v>119</v>
      </c>
      <c r="I180" s="6" t="n">
        <v>912.6</v>
      </c>
      <c r="J180" s="6" t="n">
        <v>793.6</v>
      </c>
    </row>
    <row collapsed="false" customFormat="false" customHeight="false" hidden="false" ht="12.1" outlineLevel="0" r="181">
      <c r="A181" s="35" t="n">
        <v>45503</v>
      </c>
      <c r="B181" s="16" t="s">
        <v>1375</v>
      </c>
      <c r="C181" s="16" t="s">
        <v>293</v>
      </c>
      <c r="D181" s="16" t="s">
        <v>294</v>
      </c>
      <c r="E181" s="6" t="n">
        <v>1000</v>
      </c>
      <c r="F181" s="7" t="n">
        <v>1</v>
      </c>
      <c r="G181" s="6" t="n">
        <v>39.45</v>
      </c>
      <c r="H181" s="6" t="n">
        <v>5</v>
      </c>
      <c r="I181" s="6" t="n">
        <v>39.45</v>
      </c>
      <c r="J181" s="6" t="n">
        <v>34.45</v>
      </c>
    </row>
    <row collapsed="false" customFormat="false" customHeight="false" hidden="false" ht="12.1" outlineLevel="0" r="182">
      <c r="A182" s="35" t="n">
        <v>45506</v>
      </c>
      <c r="B182" s="16" t="s">
        <v>1375</v>
      </c>
      <c r="C182" s="16" t="s">
        <v>311</v>
      </c>
      <c r="D182" s="16" t="s">
        <v>312</v>
      </c>
      <c r="E182" s="6" t="n">
        <v>1000</v>
      </c>
      <c r="F182" s="7" t="n">
        <v>1</v>
      </c>
      <c r="G182" s="6" t="n">
        <v>53.1</v>
      </c>
      <c r="H182" s="6" t="n">
        <v>7</v>
      </c>
      <c r="I182" s="6" t="n">
        <v>53.1</v>
      </c>
      <c r="J182" s="6" t="n">
        <v>46.1</v>
      </c>
    </row>
    <row collapsed="false" customFormat="false" customHeight="false" hidden="false" ht="12.1" outlineLevel="0" r="183">
      <c r="A183" s="35" t="n">
        <v>45510</v>
      </c>
      <c r="B183" s="16" t="s">
        <v>1375</v>
      </c>
      <c r="C183" s="16" t="s">
        <v>166</v>
      </c>
      <c r="D183" s="16" t="s">
        <v>167</v>
      </c>
      <c r="E183" s="6" t="n">
        <v>1509.55</v>
      </c>
      <c r="F183" s="7" t="n">
        <v>2</v>
      </c>
      <c r="G183" s="6" t="n">
        <v>18.82</v>
      </c>
      <c r="H183" s="6" t="n">
        <v>5</v>
      </c>
      <c r="I183" s="6" t="n">
        <v>37.64</v>
      </c>
      <c r="J183" s="6" t="n">
        <v>32.64</v>
      </c>
    </row>
    <row collapsed="false" customFormat="false" customHeight="false" hidden="false" ht="12.1" outlineLevel="0" r="184">
      <c r="A184" s="35" t="n">
        <v>45517</v>
      </c>
      <c r="B184" s="16" t="s">
        <v>1375</v>
      </c>
      <c r="C184" s="16" t="s">
        <v>112</v>
      </c>
      <c r="D184" s="16" t="s">
        <v>113</v>
      </c>
      <c r="E184" s="6" t="n">
        <v>1000</v>
      </c>
      <c r="F184" s="7" t="n">
        <v>18</v>
      </c>
      <c r="G184" s="6" t="n">
        <v>34.9</v>
      </c>
      <c r="H184" s="6" t="n">
        <v>82</v>
      </c>
      <c r="I184" s="6" t="n">
        <v>628.2</v>
      </c>
      <c r="J184" s="6" t="n">
        <v>546.2</v>
      </c>
    </row>
    <row collapsed="false" customFormat="false" customHeight="false" hidden="false" ht="12.1" outlineLevel="0" r="185">
      <c r="A185" s="35" t="n">
        <v>45517</v>
      </c>
      <c r="B185" s="16" t="s">
        <v>1375</v>
      </c>
      <c r="C185" s="16" t="s">
        <v>935</v>
      </c>
      <c r="D185" s="16" t="s">
        <v>1393</v>
      </c>
      <c r="E185" s="6" t="n">
        <v>300</v>
      </c>
      <c r="F185" s="7" t="n">
        <v>1</v>
      </c>
      <c r="G185" s="6" t="n">
        <v>4.67</v>
      </c>
      <c r="H185" s="6" t="n">
        <v>1</v>
      </c>
      <c r="I185" s="6" t="n">
        <v>4.67</v>
      </c>
      <c r="J185" s="6" t="n">
        <v>3.67</v>
      </c>
    </row>
    <row collapsed="false" customFormat="false" customHeight="false" hidden="false" ht="12.1" outlineLevel="0" r="186">
      <c r="A186" s="35" t="n">
        <v>45519</v>
      </c>
      <c r="B186" s="16" t="s">
        <v>1375</v>
      </c>
      <c r="C186" s="16" t="s">
        <v>925</v>
      </c>
      <c r="D186" s="16" t="s">
        <v>1388</v>
      </c>
      <c r="E186" s="6" t="n">
        <v>1000</v>
      </c>
      <c r="F186" s="7" t="n">
        <v>1</v>
      </c>
      <c r="G186" s="6" t="n">
        <v>51.61</v>
      </c>
      <c r="H186" s="6" t="n">
        <v>7</v>
      </c>
      <c r="I186" s="6" t="n">
        <v>51.61</v>
      </c>
      <c r="J186" s="6" t="n">
        <v>44.61</v>
      </c>
    </row>
    <row collapsed="false" customFormat="false" customHeight="false" hidden="false" ht="12.1" outlineLevel="0" r="187">
      <c r="A187" s="35" t="n">
        <v>45522</v>
      </c>
      <c r="B187" s="16" t="s">
        <v>1375</v>
      </c>
      <c r="C187" s="16" t="s">
        <v>923</v>
      </c>
      <c r="D187" s="16" t="s">
        <v>1385</v>
      </c>
      <c r="E187" s="6" t="n">
        <v>850</v>
      </c>
      <c r="F187" s="7" t="n">
        <v>2</v>
      </c>
      <c r="G187" s="6" t="n">
        <v>27.55</v>
      </c>
      <c r="H187" s="6" t="n">
        <v>7</v>
      </c>
      <c r="I187" s="6" t="n">
        <v>55.1</v>
      </c>
      <c r="J187" s="6" t="n">
        <v>48.1</v>
      </c>
    </row>
    <row collapsed="false" customFormat="false" customHeight="false" hidden="false" ht="12.1" outlineLevel="0" r="188">
      <c r="A188" s="35" t="n">
        <v>45524</v>
      </c>
      <c r="B188" s="16" t="s">
        <v>1375</v>
      </c>
      <c r="C188" s="16" t="s">
        <v>917</v>
      </c>
      <c r="D188" s="16" t="s">
        <v>1380</v>
      </c>
      <c r="E188" s="6" t="n">
        <v>250</v>
      </c>
      <c r="F188" s="7" t="n">
        <v>1</v>
      </c>
      <c r="G188" s="6" t="n">
        <v>5.36</v>
      </c>
      <c r="H188" s="6" t="n">
        <v>1</v>
      </c>
      <c r="I188" s="6" t="n">
        <v>5.36</v>
      </c>
      <c r="J188" s="6" t="n">
        <v>4.36</v>
      </c>
    </row>
    <row collapsed="false" customFormat="false" customHeight="false" hidden="false" ht="12.1" outlineLevel="0" r="189">
      <c r="A189" s="35" t="n">
        <v>45525</v>
      </c>
      <c r="B189" s="16" t="s">
        <v>1375</v>
      </c>
      <c r="C189" s="16" t="s">
        <v>331</v>
      </c>
      <c r="D189" s="16" t="s">
        <v>332</v>
      </c>
      <c r="E189" s="6" t="n">
        <v>500</v>
      </c>
      <c r="F189" s="7" t="n">
        <v>1</v>
      </c>
      <c r="G189" s="6" t="n">
        <v>8.66</v>
      </c>
      <c r="H189" s="6" t="n">
        <v>1</v>
      </c>
      <c r="I189" s="6" t="n">
        <v>8.66</v>
      </c>
      <c r="J189" s="6" t="n">
        <v>7.66</v>
      </c>
    </row>
    <row collapsed="false" customFormat="false" customHeight="false" hidden="false" ht="12.1" outlineLevel="0" r="190">
      <c r="A190" s="35" t="n">
        <v>45526</v>
      </c>
      <c r="B190" s="16" t="s">
        <v>1375</v>
      </c>
      <c r="C190" s="16" t="s">
        <v>278</v>
      </c>
      <c r="D190" s="16" t="s">
        <v>279</v>
      </c>
      <c r="E190" s="6" t="n">
        <v>1000</v>
      </c>
      <c r="F190" s="7" t="n">
        <v>1</v>
      </c>
      <c r="G190" s="6" t="n">
        <v>14.54</v>
      </c>
      <c r="H190" s="6" t="n">
        <v>2</v>
      </c>
      <c r="I190" s="6" t="n">
        <v>14.54</v>
      </c>
      <c r="J190" s="6" t="n">
        <v>12.54</v>
      </c>
    </row>
    <row collapsed="false" customFormat="false" customHeight="false" hidden="false" ht="12.1" outlineLevel="0" r="191">
      <c r="A191" s="35" t="n">
        <v>45529</v>
      </c>
      <c r="B191" s="16" t="s">
        <v>1375</v>
      </c>
      <c r="C191" s="16" t="s">
        <v>199</v>
      </c>
      <c r="D191" s="16" t="s">
        <v>200</v>
      </c>
      <c r="E191" s="6" t="n">
        <v>1000</v>
      </c>
      <c r="F191" s="7" t="n">
        <v>2</v>
      </c>
      <c r="G191" s="6" t="n">
        <v>14.75</v>
      </c>
      <c r="H191" s="6" t="n">
        <v>4</v>
      </c>
      <c r="I191" s="6" t="n">
        <v>29.5</v>
      </c>
      <c r="J191" s="6" t="n">
        <v>25.5</v>
      </c>
    </row>
    <row collapsed="false" customFormat="false" customHeight="false" hidden="false" ht="12.1" outlineLevel="0" r="192">
      <c r="A192" s="35" t="n">
        <v>45531</v>
      </c>
      <c r="B192" s="16" t="s">
        <v>1375</v>
      </c>
      <c r="C192" s="16" t="s">
        <v>202</v>
      </c>
      <c r="D192" s="16" t="s">
        <v>203</v>
      </c>
      <c r="E192" s="6" t="n">
        <v>1000</v>
      </c>
      <c r="F192" s="7" t="n">
        <v>2</v>
      </c>
      <c r="G192" s="6" t="n">
        <v>14.05</v>
      </c>
      <c r="H192" s="6" t="n">
        <v>4</v>
      </c>
      <c r="I192" s="6" t="n">
        <v>28.1</v>
      </c>
      <c r="J192" s="6" t="n">
        <v>24.1</v>
      </c>
    </row>
    <row collapsed="false" customFormat="false" customHeight="false" hidden="false" ht="12.1" outlineLevel="0" r="193">
      <c r="A193" s="35" t="n">
        <v>45533</v>
      </c>
      <c r="B193" s="16" t="s">
        <v>1375</v>
      </c>
      <c r="C193" s="16" t="s">
        <v>260</v>
      </c>
      <c r="D193" s="16" t="s">
        <v>261</v>
      </c>
      <c r="E193" s="6" t="n">
        <v>1000</v>
      </c>
      <c r="F193" s="7" t="n">
        <v>1</v>
      </c>
      <c r="G193" s="6" t="n">
        <v>24.81</v>
      </c>
      <c r="H193" s="6" t="n">
        <v>3</v>
      </c>
      <c r="I193" s="6" t="n">
        <v>24.81</v>
      </c>
      <c r="J193" s="6" t="n">
        <v>21.81</v>
      </c>
    </row>
    <row collapsed="false" customFormat="false" customHeight="false" hidden="false" ht="12.1" outlineLevel="0" r="194">
      <c r="A194" s="35" t="n">
        <v>45536</v>
      </c>
      <c r="B194" s="16" t="s">
        <v>1375</v>
      </c>
      <c r="C194" s="16" t="s">
        <v>196</v>
      </c>
      <c r="D194" s="16" t="s">
        <v>197</v>
      </c>
      <c r="E194" s="6" t="n">
        <v>1000</v>
      </c>
      <c r="F194" s="7" t="n">
        <v>2</v>
      </c>
      <c r="G194" s="6" t="n">
        <v>19.95</v>
      </c>
      <c r="H194" s="6" t="n">
        <v>5</v>
      </c>
      <c r="I194" s="6" t="n">
        <v>39.9</v>
      </c>
      <c r="J194" s="6" t="n">
        <v>34.9</v>
      </c>
    </row>
    <row collapsed="false" customFormat="false" customHeight="false" hidden="false" ht="12.1" outlineLevel="0" r="195">
      <c r="A195" s="35" t="n">
        <v>45538</v>
      </c>
      <c r="B195" s="16" t="s">
        <v>1375</v>
      </c>
      <c r="C195" s="16" t="s">
        <v>240</v>
      </c>
      <c r="D195" s="16" t="s">
        <v>241</v>
      </c>
      <c r="E195" s="6" t="n">
        <v>1000</v>
      </c>
      <c r="F195" s="7" t="n">
        <v>1</v>
      </c>
      <c r="G195" s="6" t="n">
        <v>78.63</v>
      </c>
      <c r="H195" s="6" t="n">
        <v>10</v>
      </c>
      <c r="I195" s="6" t="n">
        <v>78.63</v>
      </c>
      <c r="J195" s="6" t="n">
        <v>68.63</v>
      </c>
    </row>
    <row collapsed="false" customFormat="false" customHeight="false" hidden="false" ht="12.1" outlineLevel="0" r="196">
      <c r="A196" s="35" t="n">
        <v>45538</v>
      </c>
      <c r="B196" s="16" t="s">
        <v>1375</v>
      </c>
      <c r="C196" s="16" t="s">
        <v>329</v>
      </c>
      <c r="D196" s="16" t="s">
        <v>330</v>
      </c>
      <c r="E196" s="6" t="n">
        <v>1000</v>
      </c>
      <c r="F196" s="7" t="n">
        <v>1</v>
      </c>
      <c r="G196" s="6" t="n">
        <v>19.87</v>
      </c>
      <c r="H196" s="6" t="n">
        <v>3</v>
      </c>
      <c r="I196" s="6" t="n">
        <v>19.87</v>
      </c>
      <c r="J196" s="6" t="n">
        <v>16.87</v>
      </c>
    </row>
    <row collapsed="false" customFormat="false" customHeight="false" hidden="false" ht="12.1" outlineLevel="0" r="197">
      <c r="A197" s="35" t="n">
        <v>45538</v>
      </c>
      <c r="B197" s="16" t="s">
        <v>1375</v>
      </c>
      <c r="C197" s="16" t="s">
        <v>163</v>
      </c>
      <c r="D197" s="16" t="s">
        <v>164</v>
      </c>
      <c r="E197" s="6" t="n">
        <v>1000</v>
      </c>
      <c r="F197" s="7" t="n">
        <v>4</v>
      </c>
      <c r="G197" s="6" t="n">
        <v>44.88</v>
      </c>
      <c r="H197" s="6" t="n">
        <v>23</v>
      </c>
      <c r="I197" s="6" t="n">
        <v>179.52</v>
      </c>
      <c r="J197" s="6" t="n">
        <v>156.52</v>
      </c>
    </row>
    <row collapsed="false" customFormat="false" customHeight="false" hidden="false" ht="12.1" outlineLevel="0" r="198">
      <c r="A198" s="35" t="n">
        <v>45539</v>
      </c>
      <c r="B198" s="16" t="s">
        <v>1375</v>
      </c>
      <c r="C198" s="16" t="s">
        <v>934</v>
      </c>
      <c r="D198" s="16" t="s">
        <v>1392</v>
      </c>
      <c r="E198" s="6" t="n">
        <v>464</v>
      </c>
      <c r="F198" s="7" t="n">
        <v>1</v>
      </c>
      <c r="G198" s="6" t="n">
        <v>11.45</v>
      </c>
      <c r="H198" s="6" t="n">
        <v>1</v>
      </c>
      <c r="I198" s="6" t="n">
        <v>11.45</v>
      </c>
      <c r="J198" s="6" t="n">
        <v>10.45</v>
      </c>
    </row>
    <row collapsed="false" customFormat="false" customHeight="false" hidden="false" ht="12.1" outlineLevel="0" r="199">
      <c r="A199" s="35" t="n">
        <v>45551</v>
      </c>
      <c r="B199" s="16" t="s">
        <v>1375</v>
      </c>
      <c r="C199" s="16" t="s">
        <v>275</v>
      </c>
      <c r="D199" s="16" t="s">
        <v>276</v>
      </c>
      <c r="E199" s="6" t="n">
        <v>1000</v>
      </c>
      <c r="F199" s="7" t="n">
        <v>1</v>
      </c>
      <c r="G199" s="6" t="n">
        <v>39.39</v>
      </c>
      <c r="H199" s="6" t="n">
        <v>5</v>
      </c>
      <c r="I199" s="6" t="n">
        <v>39.39</v>
      </c>
      <c r="J199" s="6" t="n">
        <v>34.39</v>
      </c>
    </row>
    <row collapsed="false" customFormat="false" customHeight="false" hidden="false" ht="12.1" outlineLevel="0" r="200">
      <c r="A200" s="35" t="n">
        <v>45552</v>
      </c>
      <c r="B200" s="16" t="s">
        <v>1375</v>
      </c>
      <c r="C200" s="16" t="s">
        <v>103</v>
      </c>
      <c r="D200" s="16" t="s">
        <v>104</v>
      </c>
      <c r="E200" s="6" t="n">
        <v>1000</v>
      </c>
      <c r="F200" s="7" t="n">
        <v>11</v>
      </c>
      <c r="G200" s="6" t="n">
        <v>29.42</v>
      </c>
      <c r="H200" s="6" t="n">
        <v>42</v>
      </c>
      <c r="I200" s="6" t="n">
        <v>323.62</v>
      </c>
      <c r="J200" s="6" t="n">
        <v>281.62</v>
      </c>
    </row>
    <row collapsed="false" customFormat="false" customHeight="false" hidden="false" ht="12.1" outlineLevel="0" r="201">
      <c r="A201" s="35" t="n">
        <v>45557</v>
      </c>
      <c r="B201" s="16" t="s">
        <v>1375</v>
      </c>
      <c r="C201" s="16" t="s">
        <v>278</v>
      </c>
      <c r="D201" s="16" t="s">
        <v>279</v>
      </c>
      <c r="E201" s="6" t="n">
        <v>1000</v>
      </c>
      <c r="F201" s="7" t="n">
        <v>1</v>
      </c>
      <c r="G201" s="6" t="n">
        <v>15.3</v>
      </c>
      <c r="H201" s="6" t="n">
        <v>2</v>
      </c>
      <c r="I201" s="6" t="n">
        <v>15.3</v>
      </c>
      <c r="J201" s="6" t="n">
        <v>13.3</v>
      </c>
    </row>
    <row collapsed="false" customFormat="false" customHeight="false" hidden="false" ht="12.1" outlineLevel="0" r="202">
      <c r="A202" s="35" t="n">
        <v>45558</v>
      </c>
      <c r="B202" s="16" t="s">
        <v>1375</v>
      </c>
      <c r="C202" s="16" t="s">
        <v>930</v>
      </c>
      <c r="D202" s="16" t="s">
        <v>1389</v>
      </c>
      <c r="E202" s="6" t="n">
        <v>450</v>
      </c>
      <c r="F202" s="7" t="n">
        <v>1</v>
      </c>
      <c r="G202" s="6" t="n">
        <v>11.78</v>
      </c>
      <c r="H202" s="6" t="n">
        <v>2</v>
      </c>
      <c r="I202" s="6" t="n">
        <v>11.78</v>
      </c>
      <c r="J202" s="6" t="n">
        <v>9.78</v>
      </c>
    </row>
    <row collapsed="false" customFormat="false" customHeight="false" hidden="false" ht="12.1" outlineLevel="0" r="203">
      <c r="A203" s="35" t="n">
        <v>45559</v>
      </c>
      <c r="B203" s="16" t="s">
        <v>1375</v>
      </c>
      <c r="C203" s="16" t="s">
        <v>157</v>
      </c>
      <c r="D203" s="16" t="s">
        <v>158</v>
      </c>
      <c r="E203" s="6" t="n">
        <v>1304.64</v>
      </c>
      <c r="F203" s="7" t="n">
        <v>4</v>
      </c>
      <c r="G203" s="6" t="n">
        <v>16.26</v>
      </c>
      <c r="H203" s="6" t="n">
        <v>8</v>
      </c>
      <c r="I203" s="6" t="n">
        <v>65.04</v>
      </c>
      <c r="J203" s="6" t="n">
        <v>57.04</v>
      </c>
    </row>
    <row collapsed="false" customFormat="false" customHeight="false" hidden="false" ht="12.1" outlineLevel="0" r="204">
      <c r="A204" s="35" t="n">
        <v>45559</v>
      </c>
      <c r="B204" s="16" t="s">
        <v>1375</v>
      </c>
      <c r="C204" s="16" t="s">
        <v>130</v>
      </c>
      <c r="D204" s="16" t="s">
        <v>131</v>
      </c>
      <c r="E204" s="6" t="n">
        <v>1000</v>
      </c>
      <c r="F204" s="7" t="n">
        <v>7</v>
      </c>
      <c r="G204" s="6" t="n">
        <v>56.1</v>
      </c>
      <c r="H204" s="6" t="n">
        <v>51</v>
      </c>
      <c r="I204" s="6" t="n">
        <v>392.7</v>
      </c>
      <c r="J204" s="6" t="n">
        <v>341.7</v>
      </c>
    </row>
    <row collapsed="false" customFormat="false" customHeight="false" hidden="false" ht="12.1" outlineLevel="0" r="205">
      <c r="A205" s="35" t="n">
        <v>45559</v>
      </c>
      <c r="B205" s="16" t="s">
        <v>1375</v>
      </c>
      <c r="C205" s="16" t="s">
        <v>323</v>
      </c>
      <c r="D205" s="16" t="s">
        <v>324</v>
      </c>
      <c r="E205" s="6" t="n">
        <v>1000</v>
      </c>
      <c r="F205" s="7" t="n">
        <v>1</v>
      </c>
      <c r="G205" s="6" t="n">
        <v>11.18</v>
      </c>
      <c r="H205" s="6" t="n">
        <v>1</v>
      </c>
      <c r="I205" s="6" t="n">
        <v>11.18</v>
      </c>
      <c r="J205" s="6" t="n">
        <v>10.18</v>
      </c>
    </row>
    <row collapsed="false" customFormat="false" customHeight="false" hidden="false" ht="12.1" outlineLevel="0" r="206">
      <c r="A206" s="35" t="n">
        <v>45559</v>
      </c>
      <c r="B206" s="16" t="s">
        <v>1375</v>
      </c>
      <c r="C206" s="16" t="s">
        <v>133</v>
      </c>
      <c r="D206" s="16" t="s">
        <v>134</v>
      </c>
      <c r="E206" s="6" t="n">
        <v>1000</v>
      </c>
      <c r="F206" s="7" t="n">
        <v>5</v>
      </c>
      <c r="G206" s="6" t="n">
        <v>42.38</v>
      </c>
      <c r="H206" s="6" t="n">
        <v>28</v>
      </c>
      <c r="I206" s="6" t="n">
        <v>211.9</v>
      </c>
      <c r="J206" s="6" t="n">
        <v>183.9</v>
      </c>
    </row>
    <row collapsed="false" customFormat="false" customHeight="false" hidden="false" ht="12.1" outlineLevel="0" r="207">
      <c r="A207" s="35" t="n">
        <v>45560</v>
      </c>
      <c r="B207" s="16" t="s">
        <v>1375</v>
      </c>
      <c r="C207" s="16" t="s">
        <v>199</v>
      </c>
      <c r="D207" s="16" t="s">
        <v>200</v>
      </c>
      <c r="E207" s="6" t="n">
        <v>1000</v>
      </c>
      <c r="F207" s="7" t="n">
        <v>2</v>
      </c>
      <c r="G207" s="6" t="n">
        <v>15.61</v>
      </c>
      <c r="H207" s="6" t="n">
        <v>4</v>
      </c>
      <c r="I207" s="6" t="n">
        <v>31.22</v>
      </c>
      <c r="J207" s="6" t="n">
        <v>27.22</v>
      </c>
    </row>
    <row collapsed="false" customFormat="false" customHeight="false" hidden="false" ht="12.1" outlineLevel="0" r="208">
      <c r="A208" s="35" t="n">
        <v>45561</v>
      </c>
      <c r="B208" s="16" t="s">
        <v>1375</v>
      </c>
      <c r="C208" s="16" t="s">
        <v>202</v>
      </c>
      <c r="D208" s="16" t="s">
        <v>203</v>
      </c>
      <c r="E208" s="6" t="n">
        <v>1000</v>
      </c>
      <c r="F208" s="7" t="n">
        <v>2</v>
      </c>
      <c r="G208" s="6" t="n">
        <v>15.7</v>
      </c>
      <c r="H208" s="6" t="n">
        <v>4</v>
      </c>
      <c r="I208" s="6" t="n">
        <v>31.4</v>
      </c>
      <c r="J208" s="6" t="n">
        <v>27.4</v>
      </c>
    </row>
    <row collapsed="false" customFormat="false" customHeight="false" hidden="false" ht="12.1" outlineLevel="0" r="209">
      <c r="A209" s="35" t="n">
        <v>45566</v>
      </c>
      <c r="B209" s="16" t="s">
        <v>1375</v>
      </c>
      <c r="C209" s="16" t="s">
        <v>127</v>
      </c>
      <c r="D209" s="16" t="s">
        <v>128</v>
      </c>
      <c r="E209" s="6" t="n">
        <v>1000</v>
      </c>
      <c r="F209" s="7" t="n">
        <v>6</v>
      </c>
      <c r="G209" s="6" t="n">
        <v>38.39</v>
      </c>
      <c r="H209" s="6" t="n">
        <v>30</v>
      </c>
      <c r="I209" s="6" t="n">
        <v>230.34</v>
      </c>
      <c r="J209" s="6" t="n">
        <v>200.34</v>
      </c>
    </row>
    <row collapsed="false" customFormat="false" customHeight="false" hidden="false" ht="12.1" outlineLevel="0" r="210">
      <c r="A210" s="35" t="n">
        <v>45566</v>
      </c>
      <c r="B210" s="16" t="s">
        <v>1375</v>
      </c>
      <c r="C210" s="16" t="s">
        <v>106</v>
      </c>
      <c r="D210" s="16" t="s">
        <v>107</v>
      </c>
      <c r="E210" s="6" t="n">
        <v>1000</v>
      </c>
      <c r="F210" s="7" t="n">
        <v>16</v>
      </c>
      <c r="G210" s="6" t="n">
        <v>38.39</v>
      </c>
      <c r="H210" s="6" t="n">
        <v>80</v>
      </c>
      <c r="I210" s="6" t="n">
        <v>614.24</v>
      </c>
      <c r="J210" s="6" t="n">
        <v>534.24</v>
      </c>
    </row>
    <row collapsed="false" customFormat="false" customHeight="false" hidden="false" ht="12.1" outlineLevel="0" r="211">
      <c r="A211" s="35" t="n">
        <v>45567</v>
      </c>
      <c r="B211" s="16" t="s">
        <v>1375</v>
      </c>
      <c r="C211" s="16" t="s">
        <v>918</v>
      </c>
      <c r="D211" s="16" t="s">
        <v>1381</v>
      </c>
      <c r="E211" s="6" t="n">
        <v>200</v>
      </c>
      <c r="F211" s="7" t="n">
        <v>1</v>
      </c>
      <c r="G211" s="6" t="n">
        <v>6.98</v>
      </c>
      <c r="H211" s="6" t="n">
        <v>1</v>
      </c>
      <c r="I211" s="6" t="n">
        <v>6.98</v>
      </c>
      <c r="J211" s="6" t="n">
        <v>5.98</v>
      </c>
    </row>
    <row collapsed="false" customFormat="false" customHeight="false" hidden="false" ht="12.1" outlineLevel="0" r="212">
      <c r="A212" s="35" t="n">
        <v>45573</v>
      </c>
      <c r="B212" s="16" t="s">
        <v>1375</v>
      </c>
      <c r="C212" s="16" t="s">
        <v>142</v>
      </c>
      <c r="D212" s="16" t="s">
        <v>143</v>
      </c>
      <c r="E212" s="6" t="n">
        <v>1000</v>
      </c>
      <c r="F212" s="7" t="n">
        <v>5</v>
      </c>
      <c r="G212" s="6" t="n">
        <v>82.22</v>
      </c>
      <c r="H212" s="6" t="n">
        <v>53</v>
      </c>
      <c r="I212" s="6" t="n">
        <v>411.1</v>
      </c>
      <c r="J212" s="6" t="n">
        <v>358.1</v>
      </c>
    </row>
    <row collapsed="false" customFormat="false" customHeight="false" hidden="false" ht="12.1" outlineLevel="0" r="213">
      <c r="A213" s="35" t="n">
        <v>45580</v>
      </c>
      <c r="B213" s="16" t="s">
        <v>1375</v>
      </c>
      <c r="C213" s="16" t="s">
        <v>305</v>
      </c>
      <c r="D213" s="16" t="s">
        <v>306</v>
      </c>
      <c r="E213" s="6" t="n">
        <v>1000</v>
      </c>
      <c r="F213" s="7" t="n">
        <v>1</v>
      </c>
      <c r="G213" s="6" t="n">
        <v>26.18</v>
      </c>
      <c r="H213" s="6" t="n">
        <v>3</v>
      </c>
      <c r="I213" s="6" t="n">
        <v>26.18</v>
      </c>
      <c r="J213" s="6" t="n">
        <v>23.18</v>
      </c>
    </row>
    <row collapsed="false" customFormat="false" customHeight="false" hidden="false" ht="12.1" outlineLevel="0" r="214">
      <c r="A214" s="35" t="n">
        <v>45580</v>
      </c>
      <c r="B214" s="16" t="s">
        <v>1375</v>
      </c>
      <c r="C214" s="16" t="s">
        <v>124</v>
      </c>
      <c r="D214" s="16" t="s">
        <v>125</v>
      </c>
      <c r="E214" s="6" t="n">
        <v>1000</v>
      </c>
      <c r="F214" s="7" t="n">
        <v>10</v>
      </c>
      <c r="G214" s="6" t="n">
        <v>38.15</v>
      </c>
      <c r="H214" s="6" t="n">
        <v>50</v>
      </c>
      <c r="I214" s="6" t="n">
        <v>381.5</v>
      </c>
      <c r="J214" s="6" t="n">
        <v>331.5</v>
      </c>
    </row>
    <row collapsed="false" customFormat="false" customHeight="false" hidden="false" ht="12.1" outlineLevel="0" r="215">
      <c r="A215" s="35" t="n">
        <v>45586</v>
      </c>
      <c r="B215" s="16" t="s">
        <v>1375</v>
      </c>
      <c r="C215" s="16" t="s">
        <v>334</v>
      </c>
      <c r="D215" s="16" t="s">
        <v>335</v>
      </c>
      <c r="E215" s="6" t="n">
        <v>1000</v>
      </c>
      <c r="F215" s="7" t="n">
        <v>1</v>
      </c>
      <c r="G215" s="6" t="n">
        <v>34.28</v>
      </c>
      <c r="H215" s="6" t="n">
        <v>4</v>
      </c>
      <c r="I215" s="6" t="n">
        <v>34.28</v>
      </c>
      <c r="J215" s="6" t="n">
        <v>30.28</v>
      </c>
    </row>
    <row collapsed="false" customFormat="false" customHeight="false" hidden="false" ht="12.1" outlineLevel="0" r="216">
      <c r="A216" s="35" t="n">
        <v>45587</v>
      </c>
      <c r="B216" s="16" t="s">
        <v>1375</v>
      </c>
      <c r="C216" s="16" t="s">
        <v>272</v>
      </c>
      <c r="D216" s="16" t="s">
        <v>273</v>
      </c>
      <c r="E216" s="6" t="n">
        <v>1000</v>
      </c>
      <c r="F216" s="7" t="n">
        <v>1</v>
      </c>
      <c r="G216" s="6" t="n">
        <v>48.3</v>
      </c>
      <c r="H216" s="6" t="n">
        <v>6</v>
      </c>
      <c r="I216" s="6" t="n">
        <v>48.3</v>
      </c>
      <c r="J216" s="6" t="n">
        <v>42.3</v>
      </c>
    </row>
    <row collapsed="false" customFormat="false" customHeight="false" hidden="false" ht="12.1" outlineLevel="0" r="217">
      <c r="A217" s="35" t="n">
        <v>45588</v>
      </c>
      <c r="B217" s="16" t="s">
        <v>1375</v>
      </c>
      <c r="C217" s="16" t="s">
        <v>278</v>
      </c>
      <c r="D217" s="16" t="s">
        <v>279</v>
      </c>
      <c r="E217" s="6" t="n">
        <v>1000</v>
      </c>
      <c r="F217" s="7" t="n">
        <v>1</v>
      </c>
      <c r="G217" s="6" t="n">
        <v>16.6</v>
      </c>
      <c r="H217" s="6" t="n">
        <v>2</v>
      </c>
      <c r="I217" s="6" t="n">
        <v>16.6</v>
      </c>
      <c r="J217" s="6" t="n">
        <v>14.6</v>
      </c>
    </row>
    <row collapsed="false" customFormat="false" customHeight="false" hidden="false" ht="12.1" outlineLevel="0" r="218">
      <c r="A218" s="35" t="n">
        <v>45589</v>
      </c>
      <c r="B218" s="16" t="s">
        <v>1375</v>
      </c>
      <c r="C218" s="16" t="s">
        <v>323</v>
      </c>
      <c r="D218" s="16" t="s">
        <v>324</v>
      </c>
      <c r="E218" s="6" t="n">
        <v>1000</v>
      </c>
      <c r="F218" s="7" t="n">
        <v>1</v>
      </c>
      <c r="G218" s="6" t="n">
        <v>11.18</v>
      </c>
      <c r="H218" s="6" t="n">
        <v>1</v>
      </c>
      <c r="I218" s="6" t="n">
        <v>11.18</v>
      </c>
      <c r="J218" s="6" t="n">
        <v>10.18</v>
      </c>
    </row>
    <row collapsed="false" customFormat="false" customHeight="false" hidden="false" ht="12.1" outlineLevel="0" r="219">
      <c r="A219" s="35" t="n">
        <v>45591</v>
      </c>
      <c r="B219" s="16" t="s">
        <v>1375</v>
      </c>
      <c r="C219" s="16" t="s">
        <v>199</v>
      </c>
      <c r="D219" s="16" t="s">
        <v>200</v>
      </c>
      <c r="E219" s="6" t="n">
        <v>1000</v>
      </c>
      <c r="F219" s="7" t="n">
        <v>2</v>
      </c>
      <c r="G219" s="6" t="n">
        <v>16.85</v>
      </c>
      <c r="H219" s="6" t="n">
        <v>4</v>
      </c>
      <c r="I219" s="6" t="n">
        <v>33.7</v>
      </c>
      <c r="J219" s="6" t="n">
        <v>29.7</v>
      </c>
    </row>
    <row collapsed="false" customFormat="false" customHeight="false" hidden="false" ht="12.1" outlineLevel="0" r="220">
      <c r="A220" s="35" t="n">
        <v>45591</v>
      </c>
      <c r="B220" s="16" t="s">
        <v>1375</v>
      </c>
      <c r="C220" s="16" t="s">
        <v>202</v>
      </c>
      <c r="D220" s="16" t="s">
        <v>203</v>
      </c>
      <c r="E220" s="6" t="n">
        <v>1000</v>
      </c>
      <c r="F220" s="7" t="n">
        <v>2</v>
      </c>
      <c r="G220" s="6" t="n">
        <v>16.52</v>
      </c>
      <c r="H220" s="6" t="n">
        <v>4</v>
      </c>
      <c r="I220" s="6" t="n">
        <v>33.04</v>
      </c>
      <c r="J220" s="6" t="n">
        <v>29.04</v>
      </c>
    </row>
    <row collapsed="false" customFormat="false" customHeight="false" hidden="false" ht="12.1" outlineLevel="0" r="221">
      <c r="A221" s="35" t="n">
        <v>45593</v>
      </c>
      <c r="B221" s="16" t="s">
        <v>1375</v>
      </c>
      <c r="C221" s="16" t="s">
        <v>290</v>
      </c>
      <c r="D221" s="16" t="s">
        <v>291</v>
      </c>
      <c r="E221" s="6" t="n">
        <v>1000</v>
      </c>
      <c r="F221" s="7" t="n">
        <v>1</v>
      </c>
      <c r="G221" s="6" t="n">
        <v>28.22</v>
      </c>
      <c r="H221" s="6" t="n">
        <v>4</v>
      </c>
      <c r="I221" s="6" t="n">
        <v>28.22</v>
      </c>
      <c r="J221" s="6" t="n">
        <v>24.22</v>
      </c>
    </row>
    <row collapsed="false" customFormat="false" customHeight="false" hidden="false" ht="12.1" outlineLevel="0" r="222">
      <c r="A222" s="35" t="n">
        <v>45593</v>
      </c>
      <c r="B222" s="16" t="s">
        <v>1375</v>
      </c>
      <c r="C222" s="16" t="s">
        <v>226</v>
      </c>
      <c r="D222" s="16" t="s">
        <v>227</v>
      </c>
      <c r="E222" s="6" t="n">
        <v>1000</v>
      </c>
      <c r="F222" s="7" t="n">
        <v>2</v>
      </c>
      <c r="G222" s="6" t="n">
        <v>29.17</v>
      </c>
      <c r="H222" s="6" t="n">
        <v>8</v>
      </c>
      <c r="I222" s="6" t="n">
        <v>58.34</v>
      </c>
      <c r="J222" s="6" t="n">
        <v>50.34</v>
      </c>
    </row>
    <row collapsed="false" customFormat="false" customHeight="false" hidden="false" ht="12.1" outlineLevel="0" r="223">
      <c r="A223" s="35" t="n">
        <v>45594</v>
      </c>
      <c r="B223" s="16" t="s">
        <v>1375</v>
      </c>
      <c r="C223" s="16" t="s">
        <v>293</v>
      </c>
      <c r="D223" s="16" t="s">
        <v>294</v>
      </c>
      <c r="E223" s="6" t="n">
        <v>1000</v>
      </c>
      <c r="F223" s="7" t="n">
        <v>1</v>
      </c>
      <c r="G223" s="6" t="n">
        <v>44.89</v>
      </c>
      <c r="H223" s="6" t="n">
        <v>6</v>
      </c>
      <c r="I223" s="6" t="n">
        <v>44.89</v>
      </c>
      <c r="J223" s="6" t="n">
        <v>38.89</v>
      </c>
    </row>
    <row collapsed="false" customFormat="false" customHeight="false" hidden="false" ht="12.1" outlineLevel="0" r="224">
      <c r="A224" s="35" t="n">
        <v>45595</v>
      </c>
      <c r="B224" s="16" t="s">
        <v>1375</v>
      </c>
      <c r="C224" s="16" t="s">
        <v>916</v>
      </c>
      <c r="D224" s="16" t="s">
        <v>1383</v>
      </c>
      <c r="E224" s="6" t="n">
        <v>1000</v>
      </c>
      <c r="F224" s="7" t="n">
        <v>1</v>
      </c>
      <c r="G224" s="6" t="n">
        <v>42.38</v>
      </c>
      <c r="H224" s="6" t="n">
        <v>6</v>
      </c>
      <c r="I224" s="6" t="n">
        <v>42.38</v>
      </c>
      <c r="J224" s="6" t="n">
        <v>36.38</v>
      </c>
    </row>
    <row collapsed="false" customFormat="false" customHeight="false" hidden="false" ht="12.1" outlineLevel="0" r="225">
      <c r="A225" s="35" t="n">
        <v>45596</v>
      </c>
      <c r="B225" s="16" t="s">
        <v>1375</v>
      </c>
      <c r="C225" s="16" t="s">
        <v>299</v>
      </c>
      <c r="D225" s="16" t="s">
        <v>300</v>
      </c>
      <c r="E225" s="6" t="n">
        <v>1000</v>
      </c>
      <c r="F225" s="7" t="n">
        <v>1</v>
      </c>
      <c r="G225" s="6" t="n">
        <v>23.86</v>
      </c>
      <c r="H225" s="6" t="n">
        <v>3</v>
      </c>
      <c r="I225" s="6" t="n">
        <v>23.86</v>
      </c>
      <c r="J225" s="6" t="n">
        <v>20.86</v>
      </c>
    </row>
    <row collapsed="false" customFormat="false" customHeight="false" hidden="false" ht="12.1" outlineLevel="0" r="226">
      <c r="A226" s="35" t="n">
        <v>45608</v>
      </c>
      <c r="B226" s="16" t="s">
        <v>1375</v>
      </c>
      <c r="C226" s="16" t="s">
        <v>935</v>
      </c>
      <c r="D226" s="16" t="s">
        <v>1393</v>
      </c>
      <c r="E226" s="6" t="n">
        <v>300</v>
      </c>
      <c r="F226" s="7" t="n">
        <v>1</v>
      </c>
      <c r="G226" s="6" t="n">
        <v>4.67</v>
      </c>
      <c r="H226" s="6" t="n">
        <v>1</v>
      </c>
      <c r="I226" s="6" t="n">
        <v>4.67</v>
      </c>
      <c r="J226" s="6" t="n">
        <v>3.67</v>
      </c>
    </row>
    <row collapsed="false" customFormat="false" customHeight="false" hidden="false" ht="12.1" outlineLevel="0" r="227">
      <c r="A227" s="35" t="n">
        <v>45608</v>
      </c>
      <c r="B227" s="16" t="s">
        <v>1375</v>
      </c>
      <c r="C227" s="16" t="s">
        <v>109</v>
      </c>
      <c r="D227" s="16" t="s">
        <v>110</v>
      </c>
      <c r="E227" s="6" t="n">
        <v>1000</v>
      </c>
      <c r="F227" s="7" t="n">
        <v>7</v>
      </c>
      <c r="G227" s="6" t="n">
        <v>84.97</v>
      </c>
      <c r="H227" s="6" t="n">
        <v>77</v>
      </c>
      <c r="I227" s="6" t="n">
        <v>594.79</v>
      </c>
      <c r="J227" s="6" t="n">
        <v>517.79</v>
      </c>
    </row>
    <row collapsed="false" customFormat="false" customHeight="false" hidden="false" ht="12.1" outlineLevel="0" r="228">
      <c r="A228" s="35" t="n">
        <v>45613</v>
      </c>
      <c r="B228" s="16" t="s">
        <v>1375</v>
      </c>
      <c r="C228" s="16" t="s">
        <v>923</v>
      </c>
      <c r="D228" s="16" t="s">
        <v>1385</v>
      </c>
      <c r="E228" s="6" t="n">
        <v>650</v>
      </c>
      <c r="F228" s="7" t="n">
        <v>2</v>
      </c>
      <c r="G228" s="6" t="n">
        <v>21.07</v>
      </c>
      <c r="H228" s="6" t="n">
        <v>5</v>
      </c>
      <c r="I228" s="6" t="n">
        <v>42.14</v>
      </c>
      <c r="J228" s="6" t="n">
        <v>37.14</v>
      </c>
    </row>
    <row collapsed="false" customFormat="false" customHeight="false" hidden="false" ht="12.1" outlineLevel="0" r="229">
      <c r="A229" s="35" t="n">
        <v>45615</v>
      </c>
      <c r="B229" s="16" t="s">
        <v>1375</v>
      </c>
      <c r="C229" s="16" t="s">
        <v>136</v>
      </c>
      <c r="D229" s="16" t="s">
        <v>137</v>
      </c>
      <c r="E229" s="6" t="n">
        <v>1000</v>
      </c>
      <c r="F229" s="7" t="n">
        <v>9</v>
      </c>
      <c r="G229" s="6" t="n">
        <v>36.15</v>
      </c>
      <c r="H229" s="6" t="n">
        <v>42</v>
      </c>
      <c r="I229" s="6" t="n">
        <v>325.35</v>
      </c>
      <c r="J229" s="6" t="n">
        <v>283.35</v>
      </c>
    </row>
    <row collapsed="false" customFormat="false" customHeight="false" hidden="false" ht="12.1" outlineLevel="0" r="230">
      <c r="A230" s="35" t="n">
        <v>45615</v>
      </c>
      <c r="B230" s="16" t="s">
        <v>1375</v>
      </c>
      <c r="C230" s="16" t="s">
        <v>139</v>
      </c>
      <c r="D230" s="16" t="s">
        <v>140</v>
      </c>
      <c r="E230" s="6" t="n">
        <v>1134.88</v>
      </c>
      <c r="F230" s="7" t="n">
        <v>6</v>
      </c>
      <c r="G230" s="6" t="n">
        <v>14.15</v>
      </c>
      <c r="H230" s="6" t="n">
        <v>11</v>
      </c>
      <c r="I230" s="6" t="n">
        <v>84.9</v>
      </c>
      <c r="J230" s="6" t="n">
        <v>73.9</v>
      </c>
    </row>
    <row collapsed="false" customFormat="false" customHeight="false" hidden="false" ht="12.1" outlineLevel="0" r="231">
      <c r="A231" s="35" t="n">
        <v>45616</v>
      </c>
      <c r="B231" s="16" t="s">
        <v>1375</v>
      </c>
      <c r="C231" s="16" t="s">
        <v>331</v>
      </c>
      <c r="D231" s="16" t="s">
        <v>332</v>
      </c>
      <c r="E231" s="6" t="n">
        <v>500</v>
      </c>
      <c r="F231" s="7" t="n">
        <v>1</v>
      </c>
      <c r="G231" s="6" t="n">
        <v>8.66</v>
      </c>
      <c r="H231" s="6" t="n">
        <v>1</v>
      </c>
      <c r="I231" s="6" t="n">
        <v>8.66</v>
      </c>
      <c r="J231" s="6" t="n">
        <v>7.66</v>
      </c>
    </row>
    <row collapsed="false" customFormat="false" customHeight="false" hidden="false" ht="12.1" outlineLevel="0" r="232">
      <c r="A232" s="35" t="n">
        <v>45619</v>
      </c>
      <c r="B232" s="16" t="s">
        <v>1375</v>
      </c>
      <c r="C232" s="16" t="s">
        <v>278</v>
      </c>
      <c r="D232" s="16" t="s">
        <v>279</v>
      </c>
      <c r="E232" s="6" t="n">
        <v>1000</v>
      </c>
      <c r="F232" s="7" t="n">
        <v>1</v>
      </c>
      <c r="G232" s="6" t="n">
        <v>16.79</v>
      </c>
      <c r="H232" s="6" t="n">
        <v>2</v>
      </c>
      <c r="I232" s="6" t="n">
        <v>16.79</v>
      </c>
      <c r="J232" s="6" t="n">
        <v>14.79</v>
      </c>
    </row>
    <row collapsed="false" customFormat="false" customHeight="false" hidden="false" ht="12.1" outlineLevel="0" r="233">
      <c r="A233" s="35" t="n">
        <v>45619</v>
      </c>
      <c r="B233" s="16" t="s">
        <v>1375</v>
      </c>
      <c r="C233" s="16" t="s">
        <v>323</v>
      </c>
      <c r="D233" s="16" t="s">
        <v>324</v>
      </c>
      <c r="E233" s="6" t="n">
        <v>1000</v>
      </c>
      <c r="F233" s="7" t="n">
        <v>1</v>
      </c>
      <c r="G233" s="6" t="n">
        <v>11.18</v>
      </c>
      <c r="H233" s="6" t="n">
        <v>1</v>
      </c>
      <c r="I233" s="6" t="n">
        <v>11.18</v>
      </c>
      <c r="J233" s="6" t="n">
        <v>10.18</v>
      </c>
    </row>
    <row collapsed="false" customFormat="false" customHeight="false" hidden="false" ht="12.1" outlineLevel="0" r="234">
      <c r="A234" s="35" t="n">
        <v>45621</v>
      </c>
      <c r="B234" s="16" t="s">
        <v>1375</v>
      </c>
      <c r="C234" s="16" t="s">
        <v>202</v>
      </c>
      <c r="D234" s="16" t="s">
        <v>203</v>
      </c>
      <c r="E234" s="6" t="n">
        <v>1000</v>
      </c>
      <c r="F234" s="7" t="n">
        <v>2</v>
      </c>
      <c r="G234" s="6" t="n">
        <v>16.52</v>
      </c>
      <c r="H234" s="6" t="n">
        <v>4</v>
      </c>
      <c r="I234" s="6" t="n">
        <v>33.04</v>
      </c>
      <c r="J234" s="6" t="n">
        <v>29.04</v>
      </c>
    </row>
    <row collapsed="false" customFormat="false" customHeight="false" hidden="false" ht="12.1" outlineLevel="0" r="235">
      <c r="A235" s="35" t="n">
        <v>45621</v>
      </c>
      <c r="B235" s="16" t="s">
        <v>1375</v>
      </c>
      <c r="C235" s="16" t="s">
        <v>172</v>
      </c>
      <c r="D235" s="16" t="s">
        <v>173</v>
      </c>
      <c r="E235" s="6" t="n">
        <v>1000</v>
      </c>
      <c r="F235" s="7" t="n">
        <v>1</v>
      </c>
      <c r="G235" s="6" t="n">
        <v>24.93</v>
      </c>
      <c r="H235" s="6" t="n">
        <v>3</v>
      </c>
      <c r="I235" s="6" t="n">
        <v>24.93</v>
      </c>
      <c r="J235" s="6" t="n">
        <v>21.93</v>
      </c>
    </row>
    <row collapsed="false" customFormat="false" customHeight="false" hidden="false" ht="12.1" outlineLevel="0" r="236">
      <c r="A236" s="35" t="n">
        <v>45622</v>
      </c>
      <c r="B236" s="16" t="s">
        <v>1375</v>
      </c>
      <c r="C236" s="16" t="s">
        <v>199</v>
      </c>
      <c r="D236" s="16" t="s">
        <v>200</v>
      </c>
      <c r="E236" s="6" t="n">
        <v>1000</v>
      </c>
      <c r="F236" s="7" t="n">
        <v>2</v>
      </c>
      <c r="G236" s="6" t="n">
        <v>16.98</v>
      </c>
      <c r="H236" s="6" t="n">
        <v>4</v>
      </c>
      <c r="I236" s="6" t="n">
        <v>33.96</v>
      </c>
      <c r="J236" s="6" t="n">
        <v>29.96</v>
      </c>
    </row>
    <row collapsed="false" customFormat="false" customHeight="false" hidden="false" ht="12.1" outlineLevel="0" r="237">
      <c r="A237" s="35" t="n">
        <v>45622</v>
      </c>
      <c r="B237" s="16" t="s">
        <v>1375</v>
      </c>
      <c r="C237" s="16" t="s">
        <v>118</v>
      </c>
      <c r="D237" s="16" t="s">
        <v>119</v>
      </c>
      <c r="E237" s="6" t="n">
        <v>1000</v>
      </c>
      <c r="F237" s="7" t="n">
        <v>9</v>
      </c>
      <c r="G237" s="6" t="n">
        <v>47.37</v>
      </c>
      <c r="H237" s="6" t="n">
        <v>55</v>
      </c>
      <c r="I237" s="6" t="n">
        <v>426.33</v>
      </c>
      <c r="J237" s="6" t="n">
        <v>371.33</v>
      </c>
    </row>
    <row collapsed="false" customFormat="false" customHeight="false" hidden="false" ht="12.1" outlineLevel="0" r="238">
      <c r="A238" s="35" t="n">
        <v>45622</v>
      </c>
      <c r="B238" s="16" t="s">
        <v>1375</v>
      </c>
      <c r="C238" s="16" t="s">
        <v>115</v>
      </c>
      <c r="D238" s="16" t="s">
        <v>116</v>
      </c>
      <c r="E238" s="6" t="n">
        <v>1000</v>
      </c>
      <c r="F238" s="7" t="n">
        <v>1</v>
      </c>
      <c r="G238" s="6" t="n">
        <v>65.78</v>
      </c>
      <c r="H238" s="6" t="n">
        <v>9</v>
      </c>
      <c r="I238" s="6" t="n">
        <v>65.78</v>
      </c>
      <c r="J238" s="6" t="n">
        <v>56.78</v>
      </c>
    </row>
    <row collapsed="false" customFormat="false" customHeight="false" hidden="false" ht="12.1" outlineLevel="0" r="239">
      <c r="A239" s="35" t="n">
        <v>45624</v>
      </c>
      <c r="B239" s="16" t="s">
        <v>1375</v>
      </c>
      <c r="C239" s="16" t="s">
        <v>260</v>
      </c>
      <c r="D239" s="16" t="s">
        <v>261</v>
      </c>
      <c r="E239" s="6" t="n">
        <v>1000</v>
      </c>
      <c r="F239" s="7" t="n">
        <v>1</v>
      </c>
      <c r="G239" s="6" t="n">
        <v>24.81</v>
      </c>
      <c r="H239" s="6" t="n">
        <v>3</v>
      </c>
      <c r="I239" s="6" t="n">
        <v>24.81</v>
      </c>
      <c r="J239" s="6" t="n">
        <v>21.81</v>
      </c>
    </row>
    <row collapsed="false" customFormat="false" customHeight="false" hidden="false" ht="12.1" outlineLevel="0" r="240">
      <c r="A240" s="35" t="n">
        <v>45627</v>
      </c>
      <c r="B240" s="16" t="s">
        <v>1375</v>
      </c>
      <c r="C240" s="16" t="s">
        <v>196</v>
      </c>
      <c r="D240" s="16" t="s">
        <v>197</v>
      </c>
      <c r="E240" s="6" t="n">
        <v>1000</v>
      </c>
      <c r="F240" s="7" t="n">
        <v>2</v>
      </c>
      <c r="G240" s="6" t="n">
        <v>19.95</v>
      </c>
      <c r="H240" s="6" t="n">
        <v>5</v>
      </c>
      <c r="I240" s="6" t="n">
        <v>39.9</v>
      </c>
      <c r="J240" s="6" t="n">
        <v>34.9</v>
      </c>
    </row>
    <row collapsed="false" customFormat="false" customHeight="false" hidden="false" ht="12.1" outlineLevel="0" r="241">
      <c r="A241" s="35" t="n">
        <v>45628</v>
      </c>
      <c r="B241" s="16" t="s">
        <v>1375</v>
      </c>
      <c r="C241" s="16" t="s">
        <v>211</v>
      </c>
      <c r="D241" s="16" t="s">
        <v>212</v>
      </c>
      <c r="E241" s="6" t="n">
        <v>1000</v>
      </c>
      <c r="F241" s="7" t="n">
        <v>1</v>
      </c>
      <c r="G241" s="6" t="n">
        <v>56.1</v>
      </c>
      <c r="H241" s="6" t="n">
        <v>7</v>
      </c>
      <c r="I241" s="6" t="n">
        <v>56.1</v>
      </c>
      <c r="J241" s="6" t="n">
        <v>49.1</v>
      </c>
    </row>
    <row collapsed="false" customFormat="false" customHeight="false" hidden="false" ht="12.1" outlineLevel="0" r="242">
      <c r="A242" s="35" t="n">
        <v>45628</v>
      </c>
      <c r="B242" s="16" t="s">
        <v>1375</v>
      </c>
      <c r="C242" s="16" t="s">
        <v>266</v>
      </c>
      <c r="D242" s="16" t="s">
        <v>267</v>
      </c>
      <c r="E242" s="6" t="n">
        <v>1000</v>
      </c>
      <c r="F242" s="7" t="n">
        <v>1</v>
      </c>
      <c r="G242" s="6" t="n">
        <v>29.17</v>
      </c>
      <c r="H242" s="6" t="n">
        <v>4</v>
      </c>
      <c r="I242" s="6" t="n">
        <v>29.17</v>
      </c>
      <c r="J242" s="6" t="n">
        <v>25.17</v>
      </c>
    </row>
    <row collapsed="false" customFormat="false" customHeight="false" hidden="false" ht="12.1" outlineLevel="0" r="243">
      <c r="A243" s="35" t="n">
        <v>45629</v>
      </c>
      <c r="B243" s="16" t="s">
        <v>1375</v>
      </c>
      <c r="C243" s="16" t="s">
        <v>308</v>
      </c>
      <c r="D243" s="16" t="s">
        <v>309</v>
      </c>
      <c r="E243" s="6" t="n">
        <v>1000</v>
      </c>
      <c r="F243" s="7" t="n">
        <v>1</v>
      </c>
      <c r="G243" s="6" t="n">
        <v>56.84</v>
      </c>
      <c r="H243" s="6" t="n">
        <v>7</v>
      </c>
      <c r="I243" s="6" t="n">
        <v>56.84</v>
      </c>
      <c r="J243" s="6" t="n">
        <v>49.84</v>
      </c>
    </row>
    <row collapsed="false" customFormat="false" customHeight="false" hidden="false" ht="12.1" outlineLevel="0" r="244">
      <c r="A244" s="35" t="n">
        <v>45629</v>
      </c>
      <c r="B244" s="16" t="s">
        <v>1375</v>
      </c>
      <c r="C244" s="16" t="s">
        <v>100</v>
      </c>
      <c r="D244" s="16" t="s">
        <v>101</v>
      </c>
      <c r="E244" s="6" t="n">
        <v>1000</v>
      </c>
      <c r="F244" s="7" t="n">
        <v>1</v>
      </c>
      <c r="G244" s="6" t="n">
        <v>68.13</v>
      </c>
      <c r="H244" s="6" t="n">
        <v>9</v>
      </c>
      <c r="I244" s="6" t="n">
        <v>68.13</v>
      </c>
      <c r="J244" s="6" t="n">
        <v>59.13</v>
      </c>
    </row>
    <row collapsed="false" customFormat="false" customHeight="false" hidden="false" ht="12.1" outlineLevel="0" r="245">
      <c r="A245" s="35" t="n">
        <v>45629</v>
      </c>
      <c r="B245" s="16" t="s">
        <v>1375</v>
      </c>
      <c r="C245" s="16" t="s">
        <v>91</v>
      </c>
      <c r="D245" s="16" t="s">
        <v>92</v>
      </c>
      <c r="E245" s="6" t="n">
        <v>1000</v>
      </c>
      <c r="F245" s="7" t="n">
        <v>10</v>
      </c>
      <c r="G245" s="6" t="n">
        <v>48.87</v>
      </c>
      <c r="H245" s="6" t="n">
        <v>64</v>
      </c>
      <c r="I245" s="6" t="n">
        <v>488.7</v>
      </c>
      <c r="J245" s="6" t="n">
        <v>424.7</v>
      </c>
    </row>
    <row collapsed="false" customFormat="false" customHeight="false" hidden="false" ht="12.1" outlineLevel="0" r="246">
      <c r="A246" s="35" t="n">
        <v>45629</v>
      </c>
      <c r="B246" s="16" t="s">
        <v>1375</v>
      </c>
      <c r="C246" s="16" t="s">
        <v>320</v>
      </c>
      <c r="D246" s="16" t="s">
        <v>321</v>
      </c>
      <c r="E246" s="6" t="n">
        <v>1000</v>
      </c>
      <c r="F246" s="7" t="n">
        <v>1</v>
      </c>
      <c r="G246" s="6" t="n">
        <v>19.55</v>
      </c>
      <c r="H246" s="6" t="n">
        <v>3</v>
      </c>
      <c r="I246" s="6" t="n">
        <v>19.55</v>
      </c>
      <c r="J246" s="6" t="n">
        <v>16.55</v>
      </c>
    </row>
    <row collapsed="false" customFormat="false" customHeight="false" hidden="false" ht="12.1" outlineLevel="0" r="247">
      <c r="A247" s="35" t="n">
        <v>45629</v>
      </c>
      <c r="B247" s="16" t="s">
        <v>1375</v>
      </c>
      <c r="C247" s="16" t="s">
        <v>924</v>
      </c>
      <c r="D247" s="16" t="s">
        <v>1386</v>
      </c>
      <c r="E247" s="6" t="n">
        <v>1000</v>
      </c>
      <c r="F247" s="7" t="n">
        <v>2</v>
      </c>
      <c r="G247" s="6" t="n">
        <v>32.66</v>
      </c>
      <c r="H247" s="6" t="n">
        <v>8</v>
      </c>
      <c r="I247" s="6" t="n">
        <v>65.32</v>
      </c>
      <c r="J247" s="6" t="n">
        <v>57.32</v>
      </c>
    </row>
    <row collapsed="false" customFormat="false" customHeight="false" hidden="false" ht="12.1" outlineLevel="0" r="248">
      <c r="A248" s="35" t="n">
        <v>45629</v>
      </c>
      <c r="B248" s="16" t="s">
        <v>1375</v>
      </c>
      <c r="C248" s="16" t="s">
        <v>329</v>
      </c>
      <c r="D248" s="16" t="s">
        <v>330</v>
      </c>
      <c r="E248" s="6" t="n">
        <v>1000</v>
      </c>
      <c r="F248" s="7" t="n">
        <v>1</v>
      </c>
      <c r="G248" s="6" t="n">
        <v>19.87</v>
      </c>
      <c r="H248" s="6" t="n">
        <v>3</v>
      </c>
      <c r="I248" s="6" t="n">
        <v>19.87</v>
      </c>
      <c r="J248" s="6" t="n">
        <v>16.87</v>
      </c>
    </row>
    <row collapsed="false" customFormat="false" customHeight="false" hidden="false" ht="12.1" outlineLevel="0" r="249">
      <c r="A249" s="35" t="n">
        <v>45629</v>
      </c>
      <c r="B249" s="16" t="s">
        <v>1375</v>
      </c>
      <c r="C249" s="16" t="s">
        <v>94</v>
      </c>
      <c r="D249" s="16" t="s">
        <v>95</v>
      </c>
      <c r="E249" s="6" t="n">
        <v>1000</v>
      </c>
      <c r="F249" s="7" t="n">
        <v>22</v>
      </c>
      <c r="G249" s="6" t="n">
        <v>35.4</v>
      </c>
      <c r="H249" s="6" t="n">
        <v>101</v>
      </c>
      <c r="I249" s="6" t="n">
        <v>778.8</v>
      </c>
      <c r="J249" s="6" t="n">
        <v>677.8</v>
      </c>
    </row>
    <row collapsed="false" customFormat="false" customHeight="false" hidden="false" ht="12.1" outlineLevel="0" r="250">
      <c r="A250" s="35" t="n">
        <v>45630</v>
      </c>
      <c r="B250" s="16" t="s">
        <v>1375</v>
      </c>
      <c r="C250" s="16" t="s">
        <v>934</v>
      </c>
      <c r="D250" s="16" t="s">
        <v>1392</v>
      </c>
      <c r="E250" s="6" t="n">
        <v>397</v>
      </c>
      <c r="F250" s="7" t="n">
        <v>1</v>
      </c>
      <c r="G250" s="6" t="n">
        <v>9.8</v>
      </c>
      <c r="H250" s="6" t="n">
        <v>1</v>
      </c>
      <c r="I250" s="6" t="n">
        <v>9.8</v>
      </c>
      <c r="J250" s="6" t="n">
        <v>8.8</v>
      </c>
    </row>
    <row collapsed="false" customFormat="false" customHeight="false" hidden="false" ht="12.1" outlineLevel="0" r="251">
      <c r="A251" s="35" t="n">
        <v>45630</v>
      </c>
      <c r="B251" s="16" t="s">
        <v>1375</v>
      </c>
      <c r="C251" s="16" t="s">
        <v>281</v>
      </c>
      <c r="D251" s="16" t="s">
        <v>282</v>
      </c>
      <c r="E251" s="6" t="n">
        <v>1000</v>
      </c>
      <c r="F251" s="7" t="n">
        <v>1</v>
      </c>
      <c r="G251" s="6" t="n">
        <v>35.53</v>
      </c>
      <c r="H251" s="6" t="n">
        <v>5</v>
      </c>
      <c r="I251" s="6" t="n">
        <v>35.53</v>
      </c>
      <c r="J251" s="6" t="n">
        <v>30.53</v>
      </c>
    </row>
    <row collapsed="false" customFormat="false" customHeight="false" hidden="false" ht="12.1" outlineLevel="0" r="252">
      <c r="A252" s="35" t="n">
        <v>45635</v>
      </c>
      <c r="B252" s="16" t="s">
        <v>1375</v>
      </c>
      <c r="C252" s="16" t="s">
        <v>926</v>
      </c>
      <c r="D252" s="16" t="s">
        <v>1387</v>
      </c>
      <c r="E252" s="6" t="n">
        <v>895</v>
      </c>
      <c r="F252" s="7" t="n">
        <v>1</v>
      </c>
      <c r="G252" s="6" t="n">
        <v>30.12</v>
      </c>
      <c r="H252" s="6" t="n">
        <v>4</v>
      </c>
      <c r="I252" s="6" t="n">
        <v>30.12</v>
      </c>
      <c r="J252" s="6" t="n">
        <v>26.12</v>
      </c>
    </row>
    <row collapsed="false" customFormat="false" customHeight="false" hidden="false" ht="12.1" outlineLevel="0" r="253">
      <c r="A253" s="35" t="n">
        <v>45643</v>
      </c>
      <c r="B253" s="16" t="s">
        <v>1375</v>
      </c>
      <c r="C253" s="16" t="s">
        <v>88</v>
      </c>
      <c r="D253" s="16" t="s">
        <v>89</v>
      </c>
      <c r="E253" s="6" t="n">
        <v>1000</v>
      </c>
      <c r="F253" s="7" t="n">
        <v>10</v>
      </c>
      <c r="G253" s="6" t="n">
        <v>86.31</v>
      </c>
      <c r="H253" s="6" t="n">
        <v>112</v>
      </c>
      <c r="I253" s="6" t="n">
        <v>863.1</v>
      </c>
      <c r="J253" s="6" t="n">
        <v>751.1</v>
      </c>
    </row>
    <row collapsed="false" customFormat="false" customHeight="false" hidden="false" ht="12.1" outlineLevel="0" r="254">
      <c r="A254" s="35" t="n">
        <v>45649</v>
      </c>
      <c r="B254" s="16" t="s">
        <v>1375</v>
      </c>
      <c r="C254" s="16" t="s">
        <v>323</v>
      </c>
      <c r="D254" s="16" t="s">
        <v>324</v>
      </c>
      <c r="E254" s="6" t="n">
        <v>1000</v>
      </c>
      <c r="F254" s="7" t="n">
        <v>1</v>
      </c>
      <c r="G254" s="6" t="n">
        <v>11.18</v>
      </c>
      <c r="H254" s="6" t="n">
        <v>1</v>
      </c>
      <c r="I254" s="6" t="n">
        <v>11.18</v>
      </c>
      <c r="J254" s="6" t="n">
        <v>10.18</v>
      </c>
    </row>
    <row collapsed="false" customFormat="false" customHeight="false" hidden="false" ht="12.1" outlineLevel="0" r="255">
      <c r="A255" s="35" t="n">
        <v>45649</v>
      </c>
      <c r="B255" s="16" t="s">
        <v>1375</v>
      </c>
      <c r="C255" s="16" t="s">
        <v>930</v>
      </c>
      <c r="D255" s="16" t="s">
        <v>1389</v>
      </c>
      <c r="E255" s="6" t="n">
        <v>300</v>
      </c>
      <c r="F255" s="7" t="n">
        <v>1</v>
      </c>
      <c r="G255" s="6" t="n">
        <v>7.85</v>
      </c>
      <c r="H255" s="6" t="n">
        <v>1</v>
      </c>
      <c r="I255" s="6" t="n">
        <v>7.85</v>
      </c>
      <c r="J255" s="6" t="n">
        <v>6.85</v>
      </c>
    </row>
    <row collapsed="false" customFormat="false" customHeight="false" hidden="false" ht="12.1" outlineLevel="0" r="256">
      <c r="A256" s="35" t="n">
        <v>45650</v>
      </c>
      <c r="B256" s="16" t="s">
        <v>1375</v>
      </c>
      <c r="C256" s="16" t="s">
        <v>278</v>
      </c>
      <c r="D256" s="16" t="s">
        <v>279</v>
      </c>
      <c r="E256" s="6" t="n">
        <v>1000</v>
      </c>
      <c r="F256" s="7" t="n">
        <v>1</v>
      </c>
      <c r="G256" s="6" t="n">
        <v>18.06</v>
      </c>
      <c r="H256" s="6" t="n">
        <v>2</v>
      </c>
      <c r="I256" s="6" t="n">
        <v>18.06</v>
      </c>
      <c r="J256" s="6" t="n">
        <v>16.06</v>
      </c>
    </row>
    <row collapsed="false" customFormat="false" customHeight="false" hidden="false" ht="12.1" outlineLevel="0" r="257">
      <c r="A257" s="35" t="n">
        <v>45651</v>
      </c>
      <c r="B257" s="16" t="s">
        <v>1375</v>
      </c>
      <c r="C257" s="16" t="s">
        <v>202</v>
      </c>
      <c r="D257" s="16" t="s">
        <v>203</v>
      </c>
      <c r="E257" s="6" t="n">
        <v>1000</v>
      </c>
      <c r="F257" s="7" t="n">
        <v>2</v>
      </c>
      <c r="G257" s="6" t="n">
        <v>18.16</v>
      </c>
      <c r="H257" s="6" t="n">
        <v>5</v>
      </c>
      <c r="I257" s="6" t="n">
        <v>36.32</v>
      </c>
      <c r="J257" s="6" t="n">
        <v>31.32</v>
      </c>
    </row>
    <row collapsed="false" customFormat="false" customHeight="false" hidden="false" ht="12.1" outlineLevel="0" r="258">
      <c r="A258" s="35" t="n">
        <v>45652</v>
      </c>
      <c r="B258" s="16" t="s">
        <v>1375</v>
      </c>
      <c r="C258" s="16" t="s">
        <v>296</v>
      </c>
      <c r="D258" s="16" t="s">
        <v>297</v>
      </c>
      <c r="E258" s="6" t="n">
        <v>800</v>
      </c>
      <c r="F258" s="7" t="n">
        <v>2</v>
      </c>
      <c r="G258" s="6" t="n">
        <v>26.33</v>
      </c>
      <c r="H258" s="6" t="n">
        <v>7</v>
      </c>
      <c r="I258" s="6" t="n">
        <v>52.66</v>
      </c>
      <c r="J258" s="6" t="n">
        <v>45.66</v>
      </c>
    </row>
    <row collapsed="false" customFormat="false" customHeight="false" hidden="false" ht="12.1" outlineLevel="0" r="259">
      <c r="A259" s="35" t="n">
        <v>45653</v>
      </c>
      <c r="B259" s="16" t="s">
        <v>1375</v>
      </c>
      <c r="C259" s="16" t="s">
        <v>199</v>
      </c>
      <c r="D259" s="16" t="s">
        <v>200</v>
      </c>
      <c r="E259" s="6" t="n">
        <v>1000</v>
      </c>
      <c r="F259" s="7" t="n">
        <v>2</v>
      </c>
      <c r="G259" s="6" t="n">
        <v>18.39</v>
      </c>
      <c r="H259" s="6" t="n">
        <v>5</v>
      </c>
      <c r="I259" s="6" t="n">
        <v>36.78</v>
      </c>
      <c r="J259" s="6" t="n">
        <v>31.78</v>
      </c>
    </row>
    <row collapsed="false" customFormat="false" customHeight="false" hidden="false" ht="12.1" outlineLevel="0" r="260">
      <c r="A260" s="35" t="n">
        <v>45658</v>
      </c>
      <c r="B260" s="16" t="s">
        <v>1375</v>
      </c>
      <c r="C260" s="16" t="s">
        <v>918</v>
      </c>
      <c r="D260" s="16" t="s">
        <v>1381</v>
      </c>
      <c r="E260" s="6" t="n">
        <v>200</v>
      </c>
      <c r="F260" s="7" t="n">
        <v>1</v>
      </c>
      <c r="G260" s="6" t="n">
        <v>6.98</v>
      </c>
      <c r="H260" s="6" t="n">
        <v>1</v>
      </c>
      <c r="I260" s="6" t="n">
        <v>6.98</v>
      </c>
      <c r="J260" s="6" t="n">
        <v>5.98</v>
      </c>
    </row>
    <row collapsed="false" customFormat="false" customHeight="false" hidden="false" ht="12.1" outlineLevel="0" r="261">
      <c r="A261" s="35" t="n">
        <v>45671</v>
      </c>
      <c r="B261" s="16" t="s">
        <v>1375</v>
      </c>
      <c r="C261" s="16" t="s">
        <v>931</v>
      </c>
      <c r="D261" s="16" t="s">
        <v>1390</v>
      </c>
      <c r="E261" s="6" t="n">
        <v>1000</v>
      </c>
      <c r="F261" s="7" t="n">
        <v>2</v>
      </c>
      <c r="G261" s="6" t="n">
        <v>22.44</v>
      </c>
      <c r="H261" s="6" t="n">
        <v>6</v>
      </c>
      <c r="I261" s="6" t="n">
        <v>44.88</v>
      </c>
      <c r="J261" s="6" t="n">
        <v>38.88</v>
      </c>
    </row>
    <row collapsed="false" customFormat="false" customHeight="false" hidden="false" ht="12.1" outlineLevel="0" r="262">
      <c r="A262" s="35" t="n">
        <v>45671</v>
      </c>
      <c r="B262" s="16" t="s">
        <v>1375</v>
      </c>
      <c r="C262" s="16" t="s">
        <v>305</v>
      </c>
      <c r="D262" s="16" t="s">
        <v>306</v>
      </c>
      <c r="E262" s="6" t="n">
        <v>1000</v>
      </c>
      <c r="F262" s="7" t="n">
        <v>1</v>
      </c>
      <c r="G262" s="6" t="n">
        <v>26.18</v>
      </c>
      <c r="H262" s="6" t="n">
        <v>3</v>
      </c>
      <c r="I262" s="6" t="n">
        <v>26.18</v>
      </c>
      <c r="J262" s="6" t="n">
        <v>23.18</v>
      </c>
    </row>
    <row collapsed="false" customFormat="false" customHeight="false" hidden="false" ht="12.1" outlineLevel="0" r="263">
      <c r="A263" s="35" t="n">
        <v>45676</v>
      </c>
      <c r="B263" s="16" t="s">
        <v>1375</v>
      </c>
      <c r="C263" s="16" t="s">
        <v>214</v>
      </c>
      <c r="D263" s="16" t="s">
        <v>215</v>
      </c>
      <c r="E263" s="6" t="n">
        <v>1000</v>
      </c>
      <c r="F263" s="7" t="n">
        <v>1</v>
      </c>
      <c r="G263" s="6" t="n">
        <v>54.35</v>
      </c>
      <c r="H263" s="6" t="n">
        <v>7</v>
      </c>
      <c r="I263" s="6" t="n">
        <v>54.35</v>
      </c>
      <c r="J263" s="6" t="n">
        <v>47.35</v>
      </c>
    </row>
    <row collapsed="false" customFormat="false" customHeight="false" hidden="false" ht="12.1" outlineLevel="0" r="264">
      <c r="A264" s="35" t="n">
        <v>45677</v>
      </c>
      <c r="B264" s="16" t="s">
        <v>1375</v>
      </c>
      <c r="C264" s="16" t="s">
        <v>334</v>
      </c>
      <c r="D264" s="16" t="s">
        <v>335</v>
      </c>
      <c r="E264" s="6" t="n">
        <v>1000</v>
      </c>
      <c r="F264" s="7" t="n">
        <v>1</v>
      </c>
      <c r="G264" s="6" t="n">
        <v>34.28</v>
      </c>
      <c r="H264" s="6" t="n">
        <v>4</v>
      </c>
      <c r="I264" s="6" t="n">
        <v>34.28</v>
      </c>
      <c r="J264" s="6" t="n">
        <v>30.28</v>
      </c>
    </row>
    <row collapsed="false" customFormat="false" customHeight="false" hidden="false" ht="12.1" outlineLevel="0" r="265">
      <c r="A265" s="35" t="n">
        <v>45678</v>
      </c>
      <c r="B265" s="16" t="s">
        <v>1375</v>
      </c>
      <c r="C265" s="16" t="s">
        <v>272</v>
      </c>
      <c r="D265" s="16" t="s">
        <v>273</v>
      </c>
      <c r="E265" s="6" t="n">
        <v>1000</v>
      </c>
      <c r="F265" s="7" t="n">
        <v>1</v>
      </c>
      <c r="G265" s="6" t="n">
        <v>55.05</v>
      </c>
      <c r="H265" s="6" t="n">
        <v>7</v>
      </c>
      <c r="I265" s="6" t="n">
        <v>55.05</v>
      </c>
      <c r="J265" s="6" t="n">
        <v>48.05</v>
      </c>
    </row>
    <row collapsed="false" customFormat="false" customHeight="false" hidden="false" ht="12.1" outlineLevel="0" r="266">
      <c r="A266" s="35" t="n">
        <v>45678</v>
      </c>
      <c r="B266" s="16" t="s">
        <v>1375</v>
      </c>
      <c r="C266" s="16" t="s">
        <v>287</v>
      </c>
      <c r="D266" s="16" t="s">
        <v>288</v>
      </c>
      <c r="E266" s="6" t="n">
        <v>1000</v>
      </c>
      <c r="F266" s="7" t="n">
        <v>1</v>
      </c>
      <c r="G266" s="6" t="n">
        <v>43.38</v>
      </c>
      <c r="H266" s="6" t="n">
        <v>6</v>
      </c>
      <c r="I266" s="6" t="n">
        <v>43.38</v>
      </c>
      <c r="J266" s="6" t="n">
        <v>37.38</v>
      </c>
    </row>
    <row collapsed="false" customFormat="false" customHeight="false" hidden="false" ht="12.1" outlineLevel="0" r="267">
      <c r="A267" s="35" t="n">
        <v>45679</v>
      </c>
      <c r="B267" s="16" t="s">
        <v>1375</v>
      </c>
      <c r="C267" s="16" t="s">
        <v>323</v>
      </c>
      <c r="D267" s="16" t="s">
        <v>324</v>
      </c>
      <c r="E267" s="6" t="n">
        <v>1000</v>
      </c>
      <c r="F267" s="7" t="n">
        <v>1</v>
      </c>
      <c r="G267" s="6" t="n">
        <v>11.18</v>
      </c>
      <c r="H267" s="6" t="n">
        <v>1</v>
      </c>
      <c r="I267" s="6" t="n">
        <v>11.18</v>
      </c>
      <c r="J267" s="6" t="n">
        <v>10.18</v>
      </c>
    </row>
    <row collapsed="false" customFormat="false" customHeight="false" hidden="false" ht="12.1" outlineLevel="0" r="268">
      <c r="A268" s="35" t="n">
        <v>45681</v>
      </c>
      <c r="B268" s="16" t="s">
        <v>1375</v>
      </c>
      <c r="C268" s="16" t="s">
        <v>278</v>
      </c>
      <c r="D268" s="16" t="s">
        <v>279</v>
      </c>
      <c r="E268" s="6" t="n">
        <v>1000</v>
      </c>
      <c r="F268" s="7" t="n">
        <v>1</v>
      </c>
      <c r="G268" s="6" t="n">
        <v>18.98</v>
      </c>
      <c r="H268" s="6" t="n">
        <v>2</v>
      </c>
      <c r="I268" s="6" t="n">
        <v>18.98</v>
      </c>
      <c r="J268" s="6" t="n">
        <v>16.98</v>
      </c>
    </row>
    <row collapsed="false" customFormat="false" customHeight="false" hidden="false" ht="12.1" outlineLevel="0" r="269">
      <c r="A269" s="35" t="n">
        <v>45681</v>
      </c>
      <c r="B269" s="16" t="s">
        <v>1375</v>
      </c>
      <c r="C269" s="16" t="s">
        <v>202</v>
      </c>
      <c r="D269" s="16" t="s">
        <v>203</v>
      </c>
      <c r="E269" s="6" t="n">
        <v>1000</v>
      </c>
      <c r="F269" s="7" t="n">
        <v>2</v>
      </c>
      <c r="G269" s="6" t="n">
        <v>18.16</v>
      </c>
      <c r="H269" s="6" t="n">
        <v>5</v>
      </c>
      <c r="I269" s="6" t="n">
        <v>36.32</v>
      </c>
      <c r="J269" s="6" t="n">
        <v>31.32</v>
      </c>
    </row>
    <row collapsed="false" customFormat="false" customHeight="false" hidden="false" ht="12.1" outlineLevel="0" r="270">
      <c r="A270" s="35" t="n">
        <v>45684</v>
      </c>
      <c r="B270" s="16" t="s">
        <v>1375</v>
      </c>
      <c r="C270" s="16" t="s">
        <v>290</v>
      </c>
      <c r="D270" s="16" t="s">
        <v>291</v>
      </c>
      <c r="E270" s="6" t="n">
        <v>1000</v>
      </c>
      <c r="F270" s="7" t="n">
        <v>1</v>
      </c>
      <c r="G270" s="6" t="n">
        <v>28.22</v>
      </c>
      <c r="H270" s="6" t="n">
        <v>4</v>
      </c>
      <c r="I270" s="6" t="n">
        <v>28.22</v>
      </c>
      <c r="J270" s="6" t="n">
        <v>24.22</v>
      </c>
    </row>
    <row collapsed="false" customFormat="false" customHeight="false" hidden="false" ht="12.1" outlineLevel="0" r="271">
      <c r="A271" s="35" t="n">
        <v>45684</v>
      </c>
      <c r="B271" s="16" t="s">
        <v>1375</v>
      </c>
      <c r="C271" s="16" t="s">
        <v>226</v>
      </c>
      <c r="D271" s="16" t="s">
        <v>227</v>
      </c>
      <c r="E271" s="6" t="n">
        <v>1000</v>
      </c>
      <c r="F271" s="7" t="n">
        <v>2</v>
      </c>
      <c r="G271" s="6" t="n">
        <v>29.17</v>
      </c>
      <c r="H271" s="6" t="n">
        <v>8</v>
      </c>
      <c r="I271" s="6" t="n">
        <v>58.34</v>
      </c>
      <c r="J271" s="6" t="n">
        <v>50.34</v>
      </c>
    </row>
    <row collapsed="false" customFormat="false" customHeight="false" hidden="false" ht="12.1" outlineLevel="0" r="272">
      <c r="A272" s="35" t="n">
        <v>45684</v>
      </c>
      <c r="B272" s="16" t="s">
        <v>1375</v>
      </c>
      <c r="C272" s="16" t="s">
        <v>199</v>
      </c>
      <c r="D272" s="16" t="s">
        <v>200</v>
      </c>
      <c r="E272" s="6" t="n">
        <v>1000</v>
      </c>
      <c r="F272" s="7" t="n">
        <v>2</v>
      </c>
      <c r="G272" s="6" t="n">
        <v>19.2</v>
      </c>
      <c r="H272" s="6" t="n">
        <v>5</v>
      </c>
      <c r="I272" s="6" t="n">
        <v>38.4</v>
      </c>
      <c r="J272" s="6" t="n">
        <v>33.4</v>
      </c>
    </row>
    <row collapsed="false" customFormat="false" customHeight="false" hidden="false" ht="12.1" outlineLevel="0" r="273">
      <c r="A273" s="35" t="n">
        <v>45685</v>
      </c>
      <c r="B273" s="16" t="s">
        <v>1375</v>
      </c>
      <c r="C273" s="16" t="s">
        <v>922</v>
      </c>
      <c r="D273" s="16" t="s">
        <v>1384</v>
      </c>
      <c r="E273" s="6" t="n">
        <v>1000</v>
      </c>
      <c r="F273" s="7" t="n">
        <v>1</v>
      </c>
      <c r="G273" s="6" t="n">
        <v>84.72</v>
      </c>
      <c r="H273" s="6" t="n">
        <v>11</v>
      </c>
      <c r="I273" s="6" t="n">
        <v>84.72</v>
      </c>
      <c r="J273" s="6" t="n">
        <v>73.72</v>
      </c>
    </row>
    <row collapsed="false" customFormat="false" customHeight="false" hidden="false" ht="12.1" outlineLevel="0" r="274">
      <c r="A274" s="35" t="n">
        <v>45685</v>
      </c>
      <c r="B274" s="16" t="s">
        <v>1375</v>
      </c>
      <c r="C274" s="16" t="s">
        <v>84</v>
      </c>
      <c r="D274" s="16" t="s">
        <v>86</v>
      </c>
      <c r="E274" s="6" t="n">
        <v>1000</v>
      </c>
      <c r="F274" s="7" t="n">
        <v>30</v>
      </c>
      <c r="G274" s="6" t="n">
        <v>30.42</v>
      </c>
      <c r="H274" s="6" t="n">
        <v>119</v>
      </c>
      <c r="I274" s="6" t="n">
        <v>912.6</v>
      </c>
      <c r="J274" s="6" t="n">
        <v>793.6</v>
      </c>
    </row>
    <row collapsed="false" customFormat="false" customHeight="false" hidden="false" ht="12.1" outlineLevel="0" r="275">
      <c r="A275" s="35" t="n">
        <v>45685</v>
      </c>
      <c r="B275" s="16" t="s">
        <v>1375</v>
      </c>
      <c r="C275" s="16" t="s">
        <v>154</v>
      </c>
      <c r="D275" s="16" t="s">
        <v>155</v>
      </c>
      <c r="E275" s="6" t="n">
        <v>1000</v>
      </c>
      <c r="F275" s="7" t="n">
        <v>4</v>
      </c>
      <c r="G275" s="6" t="n">
        <v>34.41</v>
      </c>
      <c r="H275" s="6" t="n">
        <v>18</v>
      </c>
      <c r="I275" s="6" t="n">
        <v>137.64</v>
      </c>
      <c r="J275" s="6" t="n">
        <v>119.64</v>
      </c>
    </row>
    <row collapsed="false" customFormat="false" customHeight="false" hidden="false" ht="12.1" outlineLevel="0" r="276">
      <c r="A276" s="35" t="n">
        <v>45685</v>
      </c>
      <c r="B276" s="16" t="s">
        <v>1375</v>
      </c>
      <c r="C276" s="16" t="s">
        <v>293</v>
      </c>
      <c r="D276" s="16" t="s">
        <v>294</v>
      </c>
      <c r="E276" s="6" t="n">
        <v>1000</v>
      </c>
      <c r="F276" s="7" t="n">
        <v>1</v>
      </c>
      <c r="G276" s="6" t="n">
        <v>51.52</v>
      </c>
      <c r="H276" s="6" t="n">
        <v>7</v>
      </c>
      <c r="I276" s="6" t="n">
        <v>51.52</v>
      </c>
      <c r="J276" s="6" t="n">
        <v>44.52</v>
      </c>
    </row>
    <row collapsed="false" customFormat="false" customHeight="false" hidden="false" ht="12.1" outlineLevel="0" r="277">
      <c r="A277" s="35" t="n">
        <v>45687</v>
      </c>
      <c r="B277" s="16" t="s">
        <v>1375</v>
      </c>
      <c r="C277" s="16" t="s">
        <v>151</v>
      </c>
      <c r="D277" s="16" t="s">
        <v>152</v>
      </c>
      <c r="E277" s="6" t="n">
        <v>1000</v>
      </c>
      <c r="F277" s="7" t="n">
        <v>3</v>
      </c>
      <c r="G277" s="6" t="n">
        <v>59.84</v>
      </c>
      <c r="H277" s="6" t="n">
        <v>23</v>
      </c>
      <c r="I277" s="6" t="n">
        <v>179.52</v>
      </c>
      <c r="J277" s="6" t="n">
        <v>156.52</v>
      </c>
    </row>
    <row collapsed="false" customFormat="false" customHeight="false" hidden="false" ht="12.1" outlineLevel="0" r="278">
      <c r="A278" s="35" t="n">
        <v>45687</v>
      </c>
      <c r="B278" s="16" t="s">
        <v>1375</v>
      </c>
      <c r="C278" s="16" t="s">
        <v>299</v>
      </c>
      <c r="D278" s="16" t="s">
        <v>300</v>
      </c>
      <c r="E278" s="6" t="n">
        <v>1000</v>
      </c>
      <c r="F278" s="7" t="n">
        <v>1</v>
      </c>
      <c r="G278" s="6" t="n">
        <v>23.86</v>
      </c>
      <c r="H278" s="6" t="n">
        <v>3</v>
      </c>
      <c r="I278" s="6" t="n">
        <v>23.86</v>
      </c>
      <c r="J278" s="6" t="n">
        <v>20.86</v>
      </c>
    </row>
    <row collapsed="false" customFormat="false" customHeight="false" hidden="false" ht="12.1" outlineLevel="0" r="279">
      <c r="A279" s="35" t="n">
        <v>45688</v>
      </c>
      <c r="B279" s="16" t="s">
        <v>1375</v>
      </c>
      <c r="C279" s="16" t="s">
        <v>311</v>
      </c>
      <c r="D279" s="16" t="s">
        <v>312</v>
      </c>
      <c r="E279" s="6" t="n">
        <v>1000</v>
      </c>
      <c r="F279" s="7" t="n">
        <v>1</v>
      </c>
      <c r="G279" s="6" t="n">
        <v>53.1</v>
      </c>
      <c r="H279" s="6" t="n">
        <v>7</v>
      </c>
      <c r="I279" s="6" t="n">
        <v>53.1</v>
      </c>
      <c r="J279" s="6" t="n">
        <v>46.1</v>
      </c>
    </row>
    <row collapsed="false" customFormat="false" customHeight="false" hidden="false" ht="12.1" outlineLevel="0" r="280">
      <c r="A280" s="35" t="n">
        <v>45692</v>
      </c>
      <c r="B280" s="16" t="s">
        <v>1375</v>
      </c>
      <c r="C280" s="16" t="s">
        <v>166</v>
      </c>
      <c r="D280" s="16" t="s">
        <v>167</v>
      </c>
      <c r="E280" s="6" t="n">
        <v>1571.09</v>
      </c>
      <c r="F280" s="7" t="n">
        <v>2</v>
      </c>
      <c r="G280" s="6" t="n">
        <v>19.58</v>
      </c>
      <c r="H280" s="6" t="n">
        <v>5</v>
      </c>
      <c r="I280" s="6" t="n">
        <v>39.16</v>
      </c>
      <c r="J280" s="6" t="n">
        <v>34.16</v>
      </c>
    </row>
    <row collapsed="false" customFormat="false" customHeight="false" hidden="false" ht="12.1" outlineLevel="0" r="281">
      <c r="A281" s="35" t="n">
        <v>45699</v>
      </c>
      <c r="B281" s="16" t="s">
        <v>1375</v>
      </c>
      <c r="C281" s="16" t="s">
        <v>112</v>
      </c>
      <c r="D281" s="16" t="s">
        <v>113</v>
      </c>
      <c r="E281" s="6" t="n">
        <v>1000</v>
      </c>
      <c r="F281" s="7" t="n">
        <v>18</v>
      </c>
      <c r="G281" s="6" t="n">
        <v>34.9</v>
      </c>
      <c r="H281" s="6" t="n">
        <v>82</v>
      </c>
      <c r="I281" s="6" t="n">
        <v>628.2</v>
      </c>
      <c r="J281" s="6" t="n">
        <v>546.2</v>
      </c>
    </row>
    <row collapsed="false" customFormat="false" customHeight="false" hidden="false" ht="12.1" outlineLevel="0" r="282">
      <c r="A282" s="35" t="n">
        <v>45699</v>
      </c>
      <c r="B282" s="16" t="s">
        <v>1375</v>
      </c>
      <c r="C282" s="16" t="s">
        <v>935</v>
      </c>
      <c r="D282" s="16" t="s">
        <v>1393</v>
      </c>
      <c r="E282" s="6" t="n">
        <v>300</v>
      </c>
      <c r="F282" s="7" t="n">
        <v>1</v>
      </c>
      <c r="G282" s="6" t="n">
        <v>4.67</v>
      </c>
      <c r="H282" s="6" t="n">
        <v>1</v>
      </c>
      <c r="I282" s="6" t="n">
        <v>4.67</v>
      </c>
      <c r="J282" s="6" t="n">
        <v>3.67</v>
      </c>
    </row>
    <row collapsed="false" customFormat="false" customHeight="false" hidden="false" ht="12.1" outlineLevel="0" r="283">
      <c r="A283" s="35" t="n">
        <v>45701</v>
      </c>
      <c r="B283" s="16" t="s">
        <v>1375</v>
      </c>
      <c r="C283" s="16" t="s">
        <v>925</v>
      </c>
      <c r="D283" s="16" t="s">
        <v>1388</v>
      </c>
      <c r="E283" s="6" t="n">
        <v>1000</v>
      </c>
      <c r="F283" s="7" t="n">
        <v>1</v>
      </c>
      <c r="G283" s="6" t="n">
        <v>51.61</v>
      </c>
      <c r="H283" s="6" t="n">
        <v>7</v>
      </c>
      <c r="I283" s="6" t="n">
        <v>51.61</v>
      </c>
      <c r="J283" s="6" t="n">
        <v>44.61</v>
      </c>
    </row>
    <row collapsed="false" customFormat="false" customHeight="false" hidden="false" ht="12.1" outlineLevel="0" r="284">
      <c r="A284" s="35" t="n">
        <v>45701</v>
      </c>
      <c r="B284" s="16" t="s">
        <v>1375</v>
      </c>
      <c r="C284" s="16" t="s">
        <v>160</v>
      </c>
      <c r="D284" s="16" t="s">
        <v>161</v>
      </c>
      <c r="E284" s="6" t="n">
        <v>1000</v>
      </c>
      <c r="F284" s="7" t="n">
        <v>3</v>
      </c>
      <c r="G284" s="6" t="n">
        <v>51.86</v>
      </c>
      <c r="H284" s="6" t="n">
        <v>20</v>
      </c>
      <c r="I284" s="6" t="n">
        <v>155.58</v>
      </c>
      <c r="J284" s="6" t="n">
        <v>135.58</v>
      </c>
    </row>
    <row collapsed="false" customFormat="false" customHeight="false" hidden="false" ht="12.1" outlineLevel="0" r="285">
      <c r="A285" s="35" t="n">
        <v>45704</v>
      </c>
      <c r="B285" s="16" t="s">
        <v>1375</v>
      </c>
      <c r="C285" s="16" t="s">
        <v>923</v>
      </c>
      <c r="D285" s="16" t="s">
        <v>1385</v>
      </c>
      <c r="E285" s="6" t="n">
        <v>400</v>
      </c>
      <c r="F285" s="7" t="n">
        <v>2</v>
      </c>
      <c r="G285" s="6" t="n">
        <v>12.96</v>
      </c>
      <c r="H285" s="6" t="n">
        <v>3</v>
      </c>
      <c r="I285" s="6" t="n">
        <v>25.92</v>
      </c>
      <c r="J285" s="6" t="n">
        <v>22.92</v>
      </c>
    </row>
    <row collapsed="false" customFormat="false" customHeight="false" hidden="false" ht="12.1" outlineLevel="0" r="286">
      <c r="A286" s="35" t="n">
        <v>45707</v>
      </c>
      <c r="B286" s="16" t="s">
        <v>1375</v>
      </c>
      <c r="C286" s="16" t="s">
        <v>331</v>
      </c>
      <c r="D286" s="16" t="s">
        <v>332</v>
      </c>
      <c r="E286" s="6" t="n">
        <v>500</v>
      </c>
      <c r="F286" s="7" t="n">
        <v>1</v>
      </c>
      <c r="G286" s="6" t="n">
        <v>8.66</v>
      </c>
      <c r="H286" s="6" t="n">
        <v>1</v>
      </c>
      <c r="I286" s="6" t="n">
        <v>8.66</v>
      </c>
      <c r="J286" s="6" t="n">
        <v>7.66</v>
      </c>
    </row>
    <row collapsed="false" customFormat="false" customHeight="false" hidden="false" ht="12.1" outlineLevel="0" r="287">
      <c r="A287" s="35" t="n">
        <v>45708</v>
      </c>
      <c r="B287" s="16" t="s">
        <v>1375</v>
      </c>
      <c r="C287" s="16" t="s">
        <v>175</v>
      </c>
      <c r="D287" s="16" t="s">
        <v>176</v>
      </c>
      <c r="E287" s="6" t="n">
        <v>1000</v>
      </c>
      <c r="F287" s="7" t="n">
        <v>2</v>
      </c>
      <c r="G287" s="6" t="n">
        <v>44.88</v>
      </c>
      <c r="H287" s="6" t="n">
        <v>12</v>
      </c>
      <c r="I287" s="6" t="n">
        <v>89.76</v>
      </c>
      <c r="J287" s="6" t="n">
        <v>77.76</v>
      </c>
    </row>
    <row collapsed="false" customFormat="false" customHeight="false" hidden="false" ht="12.1" outlineLevel="0" r="288">
      <c r="A288" s="35" t="n">
        <v>45709</v>
      </c>
      <c r="B288" s="16" t="s">
        <v>1375</v>
      </c>
      <c r="C288" s="16" t="s">
        <v>323</v>
      </c>
      <c r="D288" s="16" t="s">
        <v>324</v>
      </c>
      <c r="E288" s="6" t="n">
        <v>1000</v>
      </c>
      <c r="F288" s="7" t="n">
        <v>1</v>
      </c>
      <c r="G288" s="6" t="n">
        <v>11.18</v>
      </c>
      <c r="H288" s="6" t="n">
        <v>1</v>
      </c>
      <c r="I288" s="6" t="n">
        <v>11.18</v>
      </c>
      <c r="J288" s="6" t="n">
        <v>10.18</v>
      </c>
    </row>
    <row collapsed="false" customFormat="false" customHeight="false" hidden="false" ht="12.1" outlineLevel="0" r="289">
      <c r="A289" s="35" t="n">
        <v>45711</v>
      </c>
      <c r="B289" s="16" t="s">
        <v>1375</v>
      </c>
      <c r="C289" s="16" t="s">
        <v>202</v>
      </c>
      <c r="D289" s="16" t="s">
        <v>203</v>
      </c>
      <c r="E289" s="6" t="n">
        <v>1000</v>
      </c>
      <c r="F289" s="7" t="n">
        <v>2</v>
      </c>
      <c r="G289" s="6" t="n">
        <v>18.16</v>
      </c>
      <c r="H289" s="6" t="n">
        <v>5</v>
      </c>
      <c r="I289" s="6" t="n">
        <v>36.32</v>
      </c>
      <c r="J289" s="6" t="n">
        <v>31.32</v>
      </c>
    </row>
    <row collapsed="false" customFormat="false" customHeight="false" hidden="false" ht="12.1" outlineLevel="0" r="290">
      <c r="A290" s="35" t="n">
        <v>45712</v>
      </c>
      <c r="B290" s="16" t="s">
        <v>1375</v>
      </c>
      <c r="C290" s="16" t="s">
        <v>278</v>
      </c>
      <c r="D290" s="16" t="s">
        <v>279</v>
      </c>
      <c r="E290" s="6" t="n">
        <v>1000</v>
      </c>
      <c r="F290" s="7" t="n">
        <v>1</v>
      </c>
      <c r="G290" s="6" t="n">
        <v>18.67</v>
      </c>
      <c r="H290" s="6" t="n">
        <v>2</v>
      </c>
      <c r="I290" s="6" t="n">
        <v>18.67</v>
      </c>
      <c r="J290" s="6" t="n">
        <v>16.67</v>
      </c>
    </row>
    <row collapsed="false" customFormat="false" customHeight="false" hidden="false" ht="12.1" outlineLevel="0" r="291">
      <c r="A291" s="35" t="n">
        <v>45712</v>
      </c>
      <c r="B291" s="16" t="s">
        <v>1375</v>
      </c>
      <c r="C291" s="16" t="s">
        <v>172</v>
      </c>
      <c r="D291" s="16" t="s">
        <v>173</v>
      </c>
      <c r="E291" s="6" t="n">
        <v>1000</v>
      </c>
      <c r="F291" s="7" t="n">
        <v>3</v>
      </c>
      <c r="G291" s="6" t="n">
        <v>24.93</v>
      </c>
      <c r="H291" s="6" t="n">
        <v>10</v>
      </c>
      <c r="I291" s="6" t="n">
        <v>74.79</v>
      </c>
      <c r="J291" s="6" t="n">
        <v>64.79</v>
      </c>
    </row>
    <row collapsed="false" customFormat="false" customHeight="false" hidden="false" ht="12.1" outlineLevel="0" r="292">
      <c r="A292" s="35" t="n">
        <v>45715</v>
      </c>
      <c r="B292" s="16" t="s">
        <v>1375</v>
      </c>
      <c r="C292" s="16" t="s">
        <v>199</v>
      </c>
      <c r="D292" s="16" t="s">
        <v>200</v>
      </c>
      <c r="E292" s="6" t="n">
        <v>1000</v>
      </c>
      <c r="F292" s="7" t="n">
        <v>2</v>
      </c>
      <c r="G292" s="6" t="n">
        <v>18.82</v>
      </c>
      <c r="H292" s="6" t="n">
        <v>5</v>
      </c>
      <c r="I292" s="6" t="n">
        <v>37.64</v>
      </c>
      <c r="J292" s="6" t="n">
        <v>32.64</v>
      </c>
    </row>
    <row collapsed="false" customFormat="false" customHeight="false" hidden="false" ht="12.1" outlineLevel="0" r="293">
      <c r="A293" s="35" t="n">
        <v>45715</v>
      </c>
      <c r="B293" s="16" t="s">
        <v>1375</v>
      </c>
      <c r="C293" s="16" t="s">
        <v>260</v>
      </c>
      <c r="D293" s="16" t="s">
        <v>261</v>
      </c>
      <c r="E293" s="6" t="n">
        <v>1000</v>
      </c>
      <c r="F293" s="7" t="n">
        <v>1</v>
      </c>
      <c r="G293" s="6" t="n">
        <v>24.81</v>
      </c>
      <c r="H293" s="6" t="n">
        <v>3</v>
      </c>
      <c r="I293" s="6" t="n">
        <v>24.81</v>
      </c>
      <c r="J293" s="6" t="n">
        <v>21.81</v>
      </c>
    </row>
    <row collapsed="false" customFormat="false" customHeight="false" hidden="false" ht="12.1" outlineLevel="0" r="294">
      <c r="A294" s="35" t="n">
        <v>45718</v>
      </c>
      <c r="B294" s="16" t="s">
        <v>1375</v>
      </c>
      <c r="C294" s="16" t="s">
        <v>196</v>
      </c>
      <c r="D294" s="16" t="s">
        <v>197</v>
      </c>
      <c r="E294" s="6" t="n">
        <v>1000</v>
      </c>
      <c r="F294" s="7" t="n">
        <v>2</v>
      </c>
      <c r="G294" s="6" t="n">
        <v>19.95</v>
      </c>
      <c r="H294" s="6" t="n">
        <v>5</v>
      </c>
      <c r="I294" s="6" t="n">
        <v>39.9</v>
      </c>
      <c r="J294" s="6" t="n">
        <v>34.9</v>
      </c>
    </row>
    <row collapsed="false" customFormat="false" customHeight="false" hidden="false" ht="12.1" outlineLevel="0" r="295">
      <c r="A295" s="35" t="n">
        <v>45719</v>
      </c>
      <c r="B295" s="16" t="s">
        <v>1375</v>
      </c>
      <c r="C295" s="16" t="s">
        <v>266</v>
      </c>
      <c r="D295" s="16" t="s">
        <v>267</v>
      </c>
      <c r="E295" s="6" t="n">
        <v>1000</v>
      </c>
      <c r="F295" s="7" t="n">
        <v>1</v>
      </c>
      <c r="G295" s="6" t="n">
        <v>29.17</v>
      </c>
      <c r="H295" s="6" t="n">
        <v>4</v>
      </c>
      <c r="I295" s="6" t="n">
        <v>29.17</v>
      </c>
      <c r="J295" s="6" t="n">
        <v>25.17</v>
      </c>
    </row>
    <row collapsed="false" customFormat="false" customHeight="false" hidden="false" ht="12.1" outlineLevel="0" r="296">
      <c r="A296" s="35" t="n">
        <v>45720</v>
      </c>
      <c r="B296" s="16" t="s">
        <v>1375</v>
      </c>
      <c r="C296" s="16" t="s">
        <v>163</v>
      </c>
      <c r="D296" s="16" t="s">
        <v>164</v>
      </c>
      <c r="E296" s="6" t="n">
        <v>1000</v>
      </c>
      <c r="F296" s="7" t="n">
        <v>4</v>
      </c>
      <c r="G296" s="6" t="n">
        <v>44.88</v>
      </c>
      <c r="H296" s="6" t="n">
        <v>23</v>
      </c>
      <c r="I296" s="6" t="n">
        <v>179.52</v>
      </c>
      <c r="J296" s="6" t="n">
        <v>156.52</v>
      </c>
    </row>
    <row collapsed="false" customFormat="false" customHeight="false" hidden="false" ht="12.1" outlineLevel="0" r="297">
      <c r="A297" s="35" t="n">
        <v>45720</v>
      </c>
      <c r="B297" s="16" t="s">
        <v>1375</v>
      </c>
      <c r="C297" s="16" t="s">
        <v>240</v>
      </c>
      <c r="D297" s="16" t="s">
        <v>241</v>
      </c>
      <c r="E297" s="6" t="n">
        <v>1000</v>
      </c>
      <c r="F297" s="7" t="n">
        <v>1</v>
      </c>
      <c r="G297" s="6" t="n">
        <v>87.01</v>
      </c>
      <c r="H297" s="6" t="n">
        <v>11</v>
      </c>
      <c r="I297" s="6" t="n">
        <v>87.01</v>
      </c>
      <c r="J297" s="6" t="n">
        <v>76.01</v>
      </c>
    </row>
    <row collapsed="false" customFormat="false" customHeight="false" hidden="false" ht="12.1" outlineLevel="0" r="298">
      <c r="A298" s="35" t="n">
        <v>45720</v>
      </c>
      <c r="B298" s="16" t="s">
        <v>1375</v>
      </c>
      <c r="C298" s="16" t="s">
        <v>329</v>
      </c>
      <c r="D298" s="16" t="s">
        <v>330</v>
      </c>
      <c r="E298" s="6" t="n">
        <v>1000</v>
      </c>
      <c r="F298" s="7" t="n">
        <v>1</v>
      </c>
      <c r="G298" s="6" t="n">
        <v>19.87</v>
      </c>
      <c r="H298" s="6" t="n">
        <v>3</v>
      </c>
      <c r="I298" s="6" t="n">
        <v>19.87</v>
      </c>
      <c r="J298" s="6" t="n">
        <v>16.87</v>
      </c>
    </row>
    <row collapsed="false" customFormat="false" customHeight="false" hidden="false" ht="12.1" outlineLevel="0" r="299">
      <c r="A299" s="35" t="n">
        <v>45720</v>
      </c>
      <c r="B299" s="16" t="s">
        <v>1375</v>
      </c>
      <c r="C299" s="16" t="s">
        <v>320</v>
      </c>
      <c r="D299" s="16" t="s">
        <v>321</v>
      </c>
      <c r="E299" s="6" t="n">
        <v>1000</v>
      </c>
      <c r="F299" s="7" t="n">
        <v>1</v>
      </c>
      <c r="G299" s="6" t="n">
        <v>19.55</v>
      </c>
      <c r="H299" s="6" t="n">
        <v>3</v>
      </c>
      <c r="I299" s="6" t="n">
        <v>19.55</v>
      </c>
      <c r="J299" s="6" t="n">
        <v>16.55</v>
      </c>
    </row>
    <row collapsed="false" customFormat="false" customHeight="false" hidden="false" ht="12.1" outlineLevel="0" r="300">
      <c r="A300" s="35" t="n">
        <v>45721</v>
      </c>
      <c r="B300" s="16" t="s">
        <v>1375</v>
      </c>
      <c r="C300" s="16" t="s">
        <v>281</v>
      </c>
      <c r="D300" s="16" t="s">
        <v>282</v>
      </c>
      <c r="E300" s="6" t="n">
        <v>1000</v>
      </c>
      <c r="F300" s="7" t="n">
        <v>1</v>
      </c>
      <c r="G300" s="6" t="n">
        <v>35.53</v>
      </c>
      <c r="H300" s="6" t="n">
        <v>5</v>
      </c>
      <c r="I300" s="6" t="n">
        <v>35.53</v>
      </c>
      <c r="J300" s="6" t="n">
        <v>30.53</v>
      </c>
    </row>
    <row collapsed="false" customFormat="false" customHeight="false" hidden="false" ht="12.1" outlineLevel="0" r="301">
      <c r="A301" s="35" t="n">
        <v>45721</v>
      </c>
      <c r="B301" s="16" t="s">
        <v>1375</v>
      </c>
      <c r="C301" s="16" t="s">
        <v>934</v>
      </c>
      <c r="D301" s="16" t="s">
        <v>1392</v>
      </c>
      <c r="E301" s="6" t="n">
        <v>330</v>
      </c>
      <c r="F301" s="7" t="n">
        <v>1</v>
      </c>
      <c r="G301" s="6" t="n">
        <v>8.15</v>
      </c>
      <c r="H301" s="6" t="n">
        <v>1</v>
      </c>
      <c r="I301" s="6" t="n">
        <v>8.15</v>
      </c>
      <c r="J301" s="6" t="n">
        <v>7.15</v>
      </c>
    </row>
    <row collapsed="false" customFormat="false" customHeight="false" hidden="false" ht="12.1" outlineLevel="0" r="302">
      <c r="A302" s="35" t="n">
        <v>45729</v>
      </c>
      <c r="B302" s="16" t="s">
        <v>1375</v>
      </c>
      <c r="C302" s="16" t="s">
        <v>229</v>
      </c>
      <c r="D302" s="16" t="s">
        <v>230</v>
      </c>
      <c r="E302" s="6" t="n">
        <v>1000</v>
      </c>
      <c r="F302" s="7" t="n">
        <v>2</v>
      </c>
      <c r="G302" s="6" t="n">
        <v>17.83</v>
      </c>
      <c r="H302" s="6" t="n">
        <v>5</v>
      </c>
      <c r="I302" s="6" t="n">
        <v>35.66</v>
      </c>
      <c r="J302" s="6" t="n">
        <v>30.66</v>
      </c>
    </row>
    <row collapsed="false" customFormat="false" customHeight="false" hidden="false" ht="12.1" outlineLevel="0" r="303">
      <c r="A303" s="35" t="n">
        <v>45733</v>
      </c>
      <c r="B303" s="16" t="s">
        <v>1375</v>
      </c>
      <c r="C303" s="16" t="s">
        <v>275</v>
      </c>
      <c r="D303" s="16" t="s">
        <v>276</v>
      </c>
      <c r="E303" s="6" t="n">
        <v>1000</v>
      </c>
      <c r="F303" s="7" t="n">
        <v>1</v>
      </c>
      <c r="G303" s="6" t="n">
        <v>39.39</v>
      </c>
      <c r="H303" s="6" t="n">
        <v>5</v>
      </c>
      <c r="I303" s="6" t="n">
        <v>39.39</v>
      </c>
      <c r="J303" s="6" t="n">
        <v>34.39</v>
      </c>
    </row>
    <row collapsed="false" customFormat="false" customHeight="false" hidden="false" ht="12.1" outlineLevel="0" r="304">
      <c r="A304" s="35" t="n">
        <v>45734</v>
      </c>
      <c r="B304" s="16" t="s">
        <v>1375</v>
      </c>
      <c r="C304" s="16" t="s">
        <v>103</v>
      </c>
      <c r="D304" s="16" t="s">
        <v>104</v>
      </c>
      <c r="E304" s="6" t="n">
        <v>1000</v>
      </c>
      <c r="F304" s="7" t="n">
        <v>14</v>
      </c>
      <c r="G304" s="6" t="n">
        <v>29.42</v>
      </c>
      <c r="H304" s="6" t="n">
        <v>54</v>
      </c>
      <c r="I304" s="6" t="n">
        <v>411.88</v>
      </c>
      <c r="J304" s="6" t="n">
        <v>357.88</v>
      </c>
    </row>
    <row collapsed="false" customFormat="false" customHeight="false" hidden="false" ht="12.1" outlineLevel="0" r="305">
      <c r="A305" s="35" t="n">
        <v>45739</v>
      </c>
      <c r="B305" s="16" t="s">
        <v>1375</v>
      </c>
      <c r="C305" s="16" t="s">
        <v>220</v>
      </c>
      <c r="D305" s="16" t="s">
        <v>221</v>
      </c>
      <c r="E305" s="6" t="n">
        <v>1000</v>
      </c>
      <c r="F305" s="7" t="n">
        <v>2</v>
      </c>
      <c r="G305" s="6" t="n">
        <v>45.38</v>
      </c>
      <c r="H305" s="6" t="n">
        <v>12</v>
      </c>
      <c r="I305" s="6" t="n">
        <v>90.76</v>
      </c>
      <c r="J305" s="6" t="n">
        <v>78.76</v>
      </c>
    </row>
    <row collapsed="false" customFormat="false" customHeight="false" hidden="false" ht="12.1" outlineLevel="0" r="306">
      <c r="A306" s="35" t="n">
        <v>45739</v>
      </c>
      <c r="B306" s="16" t="s">
        <v>1375</v>
      </c>
      <c r="C306" s="16" t="s">
        <v>323</v>
      </c>
      <c r="D306" s="16" t="s">
        <v>324</v>
      </c>
      <c r="E306" s="6" t="n">
        <v>1000</v>
      </c>
      <c r="F306" s="7" t="n">
        <v>1</v>
      </c>
      <c r="G306" s="6" t="n">
        <v>11.18</v>
      </c>
      <c r="H306" s="6" t="n">
        <v>1</v>
      </c>
      <c r="I306" s="6" t="n">
        <v>11.18</v>
      </c>
      <c r="J306" s="6" t="n">
        <v>10.18</v>
      </c>
    </row>
    <row collapsed="false" customFormat="false" customHeight="false" hidden="false" ht="12.1" outlineLevel="0" r="307">
      <c r="A307" s="35" t="n">
        <v>45740</v>
      </c>
      <c r="B307" s="16" t="s">
        <v>1375</v>
      </c>
      <c r="C307" s="16" t="s">
        <v>930</v>
      </c>
      <c r="D307" s="16" t="s">
        <v>1389</v>
      </c>
      <c r="E307" s="6" t="n">
        <v>150</v>
      </c>
      <c r="F307" s="7" t="n">
        <v>1</v>
      </c>
      <c r="G307" s="6" t="n">
        <v>3.93</v>
      </c>
      <c r="H307" s="6" t="n">
        <v>1</v>
      </c>
      <c r="I307" s="6" t="n">
        <v>3.93</v>
      </c>
      <c r="J307" s="6" t="n">
        <v>2.93</v>
      </c>
    </row>
    <row collapsed="false" customFormat="false" customHeight="false" hidden="false" ht="12.1" outlineLevel="0" r="308">
      <c r="A308" s="35" t="n">
        <v>45741</v>
      </c>
      <c r="B308" s="16" t="s">
        <v>1375</v>
      </c>
      <c r="C308" s="16" t="s">
        <v>130</v>
      </c>
      <c r="D308" s="16" t="s">
        <v>131</v>
      </c>
      <c r="E308" s="6" t="n">
        <v>1000</v>
      </c>
      <c r="F308" s="7" t="n">
        <v>7</v>
      </c>
      <c r="G308" s="6" t="n">
        <v>56.1</v>
      </c>
      <c r="H308" s="6" t="n">
        <v>51</v>
      </c>
      <c r="I308" s="6" t="n">
        <v>392.7</v>
      </c>
      <c r="J308" s="6" t="n">
        <v>341.7</v>
      </c>
    </row>
    <row collapsed="false" customFormat="false" customHeight="false" hidden="false" ht="12.1" outlineLevel="0" r="309">
      <c r="A309" s="35" t="n">
        <v>45741</v>
      </c>
      <c r="B309" s="16" t="s">
        <v>1375</v>
      </c>
      <c r="C309" s="16" t="s">
        <v>97</v>
      </c>
      <c r="D309" s="16" t="s">
        <v>98</v>
      </c>
      <c r="E309" s="6" t="n">
        <v>1000</v>
      </c>
      <c r="F309" s="7" t="n">
        <v>5</v>
      </c>
      <c r="G309" s="6" t="n">
        <v>59.84</v>
      </c>
      <c r="H309" s="6" t="n">
        <v>39</v>
      </c>
      <c r="I309" s="6" t="n">
        <v>299.2</v>
      </c>
      <c r="J309" s="6" t="n">
        <v>260.2</v>
      </c>
    </row>
    <row collapsed="false" customFormat="false" customHeight="false" hidden="false" ht="12.1" outlineLevel="0" r="310">
      <c r="A310" s="35" t="n">
        <v>45741</v>
      </c>
      <c r="B310" s="16" t="s">
        <v>1375</v>
      </c>
      <c r="C310" s="16" t="s">
        <v>133</v>
      </c>
      <c r="D310" s="16" t="s">
        <v>134</v>
      </c>
      <c r="E310" s="6" t="n">
        <v>1000</v>
      </c>
      <c r="F310" s="7" t="n">
        <v>10</v>
      </c>
      <c r="G310" s="6" t="n">
        <v>42.38</v>
      </c>
      <c r="H310" s="6" t="n">
        <v>55</v>
      </c>
      <c r="I310" s="6" t="n">
        <v>423.8</v>
      </c>
      <c r="J310" s="6" t="n">
        <v>368.8</v>
      </c>
    </row>
    <row collapsed="false" customFormat="false" customHeight="false" hidden="false" ht="12.1" outlineLevel="0" r="311">
      <c r="A311" s="35" t="n">
        <v>45741</v>
      </c>
      <c r="B311" s="16" t="s">
        <v>1375</v>
      </c>
      <c r="C311" s="16" t="s">
        <v>157</v>
      </c>
      <c r="D311" s="16" t="s">
        <v>158</v>
      </c>
      <c r="E311" s="6" t="n">
        <v>1373.79</v>
      </c>
      <c r="F311" s="7" t="n">
        <v>4</v>
      </c>
      <c r="G311" s="6" t="n">
        <v>17.13</v>
      </c>
      <c r="H311" s="6" t="n">
        <v>9</v>
      </c>
      <c r="I311" s="6" t="n">
        <v>68.52</v>
      </c>
      <c r="J311" s="6" t="n">
        <v>59.52</v>
      </c>
    </row>
    <row collapsed="false" customFormat="false" customHeight="false" hidden="false" ht="12.1" outlineLevel="0" r="312">
      <c r="A312" s="35" t="n">
        <v>45741</v>
      </c>
      <c r="B312" s="16" t="s">
        <v>1375</v>
      </c>
      <c r="C312" s="16" t="s">
        <v>202</v>
      </c>
      <c r="D312" s="16" t="s">
        <v>203</v>
      </c>
      <c r="E312" s="6" t="n">
        <v>1000</v>
      </c>
      <c r="F312" s="7" t="n">
        <v>2</v>
      </c>
      <c r="G312" s="6" t="n">
        <v>18.16</v>
      </c>
      <c r="H312" s="6" t="n">
        <v>5</v>
      </c>
      <c r="I312" s="6" t="n">
        <v>36.32</v>
      </c>
      <c r="J312" s="6" t="n">
        <v>31.32</v>
      </c>
    </row>
    <row collapsed="false" customFormat="false" customHeight="false" hidden="false" ht="12.1" outlineLevel="0" r="313">
      <c r="A313" s="35" t="n">
        <v>45743</v>
      </c>
      <c r="B313" s="16" t="s">
        <v>1375</v>
      </c>
      <c r="C313" s="16" t="s">
        <v>269</v>
      </c>
      <c r="D313" s="16" t="s">
        <v>270</v>
      </c>
      <c r="E313" s="6" t="n">
        <v>1000</v>
      </c>
      <c r="F313" s="7" t="n">
        <v>1</v>
      </c>
      <c r="G313" s="6" t="n">
        <v>52.36</v>
      </c>
      <c r="H313" s="6" t="n">
        <v>7</v>
      </c>
      <c r="I313" s="6" t="n">
        <v>52.36</v>
      </c>
      <c r="J313" s="6" t="n">
        <v>45.36</v>
      </c>
    </row>
    <row collapsed="false" customFormat="false" customHeight="false" hidden="false" ht="12.1" outlineLevel="0" r="314">
      <c r="A314" s="35" t="n">
        <v>45743</v>
      </c>
      <c r="B314" s="16" t="s">
        <v>1375</v>
      </c>
      <c r="C314" s="16" t="s">
        <v>278</v>
      </c>
      <c r="D314" s="16" t="s">
        <v>279</v>
      </c>
      <c r="E314" s="6" t="n">
        <v>1000</v>
      </c>
      <c r="F314" s="7" t="n">
        <v>1</v>
      </c>
      <c r="G314" s="6" t="n">
        <v>18.7</v>
      </c>
      <c r="H314" s="6" t="n">
        <v>2</v>
      </c>
      <c r="I314" s="6" t="n">
        <v>18.7</v>
      </c>
      <c r="J314" s="6" t="n">
        <v>16.7</v>
      </c>
    </row>
    <row collapsed="false" customFormat="false" customHeight="false" hidden="false" ht="12.1" outlineLevel="0" r="315">
      <c r="A315" s="35" t="n">
        <v>45746</v>
      </c>
      <c r="B315" s="16" t="s">
        <v>1375</v>
      </c>
      <c r="C315" s="16" t="s">
        <v>199</v>
      </c>
      <c r="D315" s="16" t="s">
        <v>200</v>
      </c>
      <c r="E315" s="6" t="n">
        <v>1000</v>
      </c>
      <c r="F315" s="7" t="n">
        <v>2</v>
      </c>
      <c r="G315" s="6" t="n">
        <v>18.86</v>
      </c>
      <c r="H315" s="6" t="n">
        <v>5</v>
      </c>
      <c r="I315" s="6" t="n">
        <v>37.72</v>
      </c>
      <c r="J315" s="6" t="n">
        <v>32.72</v>
      </c>
    </row>
    <row collapsed="false" customFormat="false" customHeight="false" hidden="false" ht="12.1" outlineLevel="0" r="316">
      <c r="A316" s="35" t="n">
        <v>45748</v>
      </c>
      <c r="B316" s="16" t="s">
        <v>1375</v>
      </c>
      <c r="C316" s="16" t="s">
        <v>127</v>
      </c>
      <c r="D316" s="16" t="s">
        <v>128</v>
      </c>
      <c r="E316" s="6" t="n">
        <v>1000</v>
      </c>
      <c r="F316" s="7" t="n">
        <v>9</v>
      </c>
      <c r="G316" s="6" t="n">
        <v>38.39</v>
      </c>
      <c r="H316" s="6" t="n">
        <v>45</v>
      </c>
      <c r="I316" s="6" t="n">
        <v>345.51</v>
      </c>
      <c r="J316" s="6" t="n">
        <v>300.51</v>
      </c>
    </row>
    <row collapsed="false" customFormat="false" customHeight="false" hidden="false" ht="12.1" outlineLevel="0" r="317">
      <c r="A317" s="35" t="n">
        <v>45748</v>
      </c>
      <c r="B317" s="16" t="s">
        <v>1375</v>
      </c>
      <c r="C317" s="16" t="s">
        <v>106</v>
      </c>
      <c r="D317" s="16" t="s">
        <v>107</v>
      </c>
      <c r="E317" s="6" t="n">
        <v>1000</v>
      </c>
      <c r="F317" s="7" t="n">
        <v>17</v>
      </c>
      <c r="G317" s="6" t="n">
        <v>38.39</v>
      </c>
      <c r="H317" s="6" t="n">
        <v>85</v>
      </c>
      <c r="I317" s="6" t="n">
        <v>652.63</v>
      </c>
      <c r="J317" s="6" t="n">
        <v>567.63</v>
      </c>
    </row>
    <row collapsed="false" customFormat="false" customHeight="false" hidden="false" ht="12.1" outlineLevel="0" r="318">
      <c r="A318" s="35" t="n">
        <v>45749</v>
      </c>
      <c r="B318" s="16" t="s">
        <v>1375</v>
      </c>
      <c r="C318" s="16" t="s">
        <v>918</v>
      </c>
      <c r="D318" s="16" t="s">
        <v>1381</v>
      </c>
      <c r="E318" s="6" t="n">
        <v>200</v>
      </c>
      <c r="F318" s="7" t="n">
        <v>1</v>
      </c>
      <c r="G318" s="6" t="n">
        <v>6.98</v>
      </c>
      <c r="H318" s="6" t="n">
        <v>1</v>
      </c>
      <c r="I318" s="6" t="n">
        <v>6.98</v>
      </c>
      <c r="J318" s="6" t="n">
        <v>5.98</v>
      </c>
    </row>
    <row collapsed="false" customFormat="false" customHeight="false" hidden="false" ht="12.1" outlineLevel="0" r="319">
      <c r="A319" s="35" t="n">
        <v>45752</v>
      </c>
      <c r="B319" s="16" t="s">
        <v>1375</v>
      </c>
      <c r="C319" s="16" t="s">
        <v>257</v>
      </c>
      <c r="D319" s="16" t="s">
        <v>258</v>
      </c>
      <c r="E319" s="6" t="n">
        <v>1000</v>
      </c>
      <c r="F319" s="7" t="n">
        <v>1</v>
      </c>
      <c r="G319" s="6" t="n">
        <v>18.76</v>
      </c>
      <c r="H319" s="6" t="n">
        <v>2</v>
      </c>
      <c r="I319" s="6" t="n">
        <v>18.76</v>
      </c>
      <c r="J319" s="6" t="n">
        <v>16.76</v>
      </c>
    </row>
    <row collapsed="false" customFormat="false" customHeight="false" hidden="false" ht="12.1" outlineLevel="0" r="320">
      <c r="A320" s="35" t="n">
        <v>45755</v>
      </c>
      <c r="B320" s="16" t="s">
        <v>1375</v>
      </c>
      <c r="C320" s="16" t="s">
        <v>142</v>
      </c>
      <c r="D320" s="16" t="s">
        <v>143</v>
      </c>
      <c r="E320" s="6" t="n">
        <v>1000</v>
      </c>
      <c r="F320" s="7" t="n">
        <v>5</v>
      </c>
      <c r="G320" s="6" t="n">
        <v>90.15</v>
      </c>
      <c r="H320" s="6" t="n">
        <v>59</v>
      </c>
      <c r="I320" s="6" t="n">
        <v>450.75</v>
      </c>
      <c r="J320" s="6" t="n">
        <v>391.75</v>
      </c>
    </row>
    <row collapsed="false" customFormat="false" customHeight="false" hidden="false" ht="12.1" outlineLevel="0" r="321">
      <c r="A321" s="35" t="n">
        <v>45755</v>
      </c>
      <c r="B321" s="16" t="s">
        <v>1375</v>
      </c>
      <c r="C321" s="16" t="s">
        <v>121</v>
      </c>
      <c r="D321" s="16" t="s">
        <v>122</v>
      </c>
      <c r="E321" s="6" t="n">
        <v>1000</v>
      </c>
      <c r="F321" s="7" t="n">
        <v>3</v>
      </c>
      <c r="G321" s="6" t="n">
        <v>59.84</v>
      </c>
      <c r="H321" s="6" t="n">
        <v>23</v>
      </c>
      <c r="I321" s="6" t="n">
        <v>179.52</v>
      </c>
      <c r="J321" s="6" t="n">
        <v>156.52</v>
      </c>
    </row>
    <row collapsed="false" customFormat="false" customHeight="false" hidden="false" ht="12.1" outlineLevel="0" r="322">
      <c r="A322" s="35" t="n">
        <v>45761</v>
      </c>
      <c r="B322" s="16" t="s">
        <v>1375</v>
      </c>
      <c r="C322" s="16" t="s">
        <v>317</v>
      </c>
      <c r="D322" s="16" t="s">
        <v>318</v>
      </c>
      <c r="E322" s="6" t="n">
        <v>1000</v>
      </c>
      <c r="F322" s="7" t="n">
        <v>1</v>
      </c>
      <c r="G322" s="6" t="n">
        <v>18.84</v>
      </c>
      <c r="H322" s="6" t="n">
        <v>2</v>
      </c>
      <c r="I322" s="6" t="n">
        <v>18.84</v>
      </c>
      <c r="J322" s="6" t="n">
        <v>16.84</v>
      </c>
    </row>
    <row collapsed="false" customFormat="false" customHeight="false" hidden="false" ht="12.1" outlineLevel="0" r="323">
      <c r="A323" s="35" t="n">
        <v>45761</v>
      </c>
      <c r="B323" s="16" t="s">
        <v>1375</v>
      </c>
      <c r="C323" s="16" t="s">
        <v>217</v>
      </c>
      <c r="D323" s="16" t="s">
        <v>218</v>
      </c>
      <c r="E323" s="6" t="n">
        <v>1000</v>
      </c>
      <c r="F323" s="7" t="n">
        <v>1</v>
      </c>
      <c r="G323" s="6" t="n">
        <v>24.93</v>
      </c>
      <c r="H323" s="6" t="n">
        <v>3</v>
      </c>
      <c r="I323" s="6" t="n">
        <v>24.93</v>
      </c>
      <c r="J323" s="6" t="n">
        <v>21.93</v>
      </c>
    </row>
    <row collapsed="false" customFormat="false" customHeight="false" hidden="false" ht="12.1" outlineLevel="0" r="324">
      <c r="A324" s="35" t="n">
        <v>45762</v>
      </c>
      <c r="B324" s="16" t="s">
        <v>1375</v>
      </c>
      <c r="C324" s="16" t="s">
        <v>305</v>
      </c>
      <c r="D324" s="16" t="s">
        <v>306</v>
      </c>
      <c r="E324" s="6" t="n">
        <v>1000</v>
      </c>
      <c r="F324" s="7" t="n">
        <v>1</v>
      </c>
      <c r="G324" s="6" t="n">
        <v>26.18</v>
      </c>
      <c r="H324" s="6" t="n">
        <v>3</v>
      </c>
      <c r="I324" s="6" t="n">
        <v>26.18</v>
      </c>
      <c r="J324" s="6" t="n">
        <v>23.18</v>
      </c>
    </row>
    <row collapsed="false" customFormat="false" customHeight="false" hidden="false" ht="12.1" outlineLevel="0" r="325">
      <c r="A325" s="35" t="n">
        <v>45762</v>
      </c>
      <c r="B325" s="16" t="s">
        <v>1375</v>
      </c>
      <c r="C325" s="16" t="s">
        <v>237</v>
      </c>
      <c r="D325" s="16" t="s">
        <v>238</v>
      </c>
      <c r="E325" s="6" t="n">
        <v>1000</v>
      </c>
      <c r="F325" s="7" t="n">
        <v>1</v>
      </c>
      <c r="G325" s="6" t="n">
        <v>97.23</v>
      </c>
      <c r="H325" s="6" t="n">
        <v>13</v>
      </c>
      <c r="I325" s="6" t="n">
        <v>97.23</v>
      </c>
      <c r="J325" s="6" t="n">
        <v>84.23</v>
      </c>
    </row>
    <row collapsed="false" customFormat="false" customHeight="false" hidden="false" ht="12.1" outlineLevel="0" r="326">
      <c r="A326" s="35" t="n">
        <v>45762</v>
      </c>
      <c r="B326" s="16" t="s">
        <v>1375</v>
      </c>
      <c r="C326" s="16" t="s">
        <v>124</v>
      </c>
      <c r="D326" s="16" t="s">
        <v>125</v>
      </c>
      <c r="E326" s="6" t="n">
        <v>1000</v>
      </c>
      <c r="F326" s="7" t="n">
        <v>13</v>
      </c>
      <c r="G326" s="6" t="n">
        <v>38.15</v>
      </c>
      <c r="H326" s="6" t="n">
        <v>64</v>
      </c>
      <c r="I326" s="6" t="n">
        <v>495.95</v>
      </c>
      <c r="J326" s="6" t="n">
        <v>431.95</v>
      </c>
    </row>
    <row collapsed="false" customFormat="false" customHeight="false" hidden="false" ht="12.1" outlineLevel="0" r="327">
      <c r="A327" s="35" t="n">
        <v>45768</v>
      </c>
      <c r="B327" s="16" t="s">
        <v>1375</v>
      </c>
      <c r="C327" s="16" t="s">
        <v>334</v>
      </c>
      <c r="D327" s="16" t="s">
        <v>335</v>
      </c>
      <c r="E327" s="6" t="n">
        <v>835</v>
      </c>
      <c r="F327" s="7" t="n">
        <v>1</v>
      </c>
      <c r="G327" s="6" t="n">
        <v>28.62</v>
      </c>
      <c r="H327" s="6" t="n">
        <v>4</v>
      </c>
      <c r="I327" s="6" t="n">
        <v>28.62</v>
      </c>
      <c r="J327" s="6" t="n">
        <v>24.62</v>
      </c>
    </row>
    <row collapsed="false" customFormat="false" customHeight="false" hidden="false" ht="12.1" outlineLevel="0" r="328">
      <c r="A328" s="35" t="n">
        <v>45769</v>
      </c>
      <c r="B328" s="16" t="s">
        <v>1375</v>
      </c>
      <c r="C328" s="16" t="s">
        <v>272</v>
      </c>
      <c r="D328" s="16" t="s">
        <v>273</v>
      </c>
      <c r="E328" s="6" t="n">
        <v>1000</v>
      </c>
      <c r="F328" s="7" t="n">
        <v>1</v>
      </c>
      <c r="G328" s="6" t="n">
        <v>56.52</v>
      </c>
      <c r="H328" s="6" t="n">
        <v>7</v>
      </c>
      <c r="I328" s="6" t="n">
        <v>56.52</v>
      </c>
      <c r="J328" s="6" t="n">
        <v>49.52</v>
      </c>
    </row>
    <row collapsed="false" customFormat="false" customHeight="false" hidden="false" ht="12.1" outlineLevel="0" r="329">
      <c r="A329" s="35" t="n">
        <v>45769</v>
      </c>
      <c r="B329" s="16" t="s">
        <v>1375</v>
      </c>
      <c r="C329" s="16" t="s">
        <v>323</v>
      </c>
      <c r="D329" s="16" t="s">
        <v>324</v>
      </c>
      <c r="E329" s="6" t="n">
        <v>1000</v>
      </c>
      <c r="F329" s="7" t="n">
        <v>1</v>
      </c>
      <c r="G329" s="6" t="n">
        <v>11.18</v>
      </c>
      <c r="H329" s="6" t="n">
        <v>1</v>
      </c>
      <c r="I329" s="6" t="n">
        <v>11.18</v>
      </c>
      <c r="J329" s="6" t="n">
        <v>10.18</v>
      </c>
    </row>
    <row collapsed="false" customFormat="false" customHeight="false" hidden="false" ht="12.1" outlineLevel="0" r="330">
      <c r="A330" s="35" t="n">
        <v>45771</v>
      </c>
      <c r="B330" s="16" t="s">
        <v>1375</v>
      </c>
      <c r="C330" s="16" t="s">
        <v>202</v>
      </c>
      <c r="D330" s="16" t="s">
        <v>203</v>
      </c>
      <c r="E330" s="6" t="n">
        <v>1000</v>
      </c>
      <c r="F330" s="7" t="n">
        <v>2</v>
      </c>
      <c r="G330" s="6" t="n">
        <v>18.16</v>
      </c>
      <c r="H330" s="6" t="n">
        <v>5</v>
      </c>
      <c r="I330" s="6" t="n">
        <v>36.32</v>
      </c>
      <c r="J330" s="6" t="n">
        <v>31.32</v>
      </c>
    </row>
    <row collapsed="false" customFormat="false" customHeight="false" hidden="false" ht="12.1" outlineLevel="0" r="331">
      <c r="A331" s="35" t="n">
        <v>45774</v>
      </c>
      <c r="B331" s="16" t="s">
        <v>1375</v>
      </c>
      <c r="C331" s="16" t="s">
        <v>278</v>
      </c>
      <c r="D331" s="16" t="s">
        <v>279</v>
      </c>
      <c r="E331" s="6" t="n">
        <v>1000</v>
      </c>
      <c r="F331" s="7" t="n">
        <v>1</v>
      </c>
      <c r="G331" s="6" t="n">
        <v>19.17</v>
      </c>
      <c r="H331" s="6" t="n">
        <v>2</v>
      </c>
      <c r="I331" s="6" t="n">
        <v>19.17</v>
      </c>
      <c r="J331" s="6" t="n">
        <v>17.17</v>
      </c>
    </row>
    <row collapsed="false" customFormat="false" customHeight="false" hidden="false" ht="12.1" outlineLevel="0" r="332">
      <c r="A332" s="35" t="n">
        <v>45775</v>
      </c>
      <c r="B332" s="16" t="s">
        <v>1375</v>
      </c>
      <c r="C332" s="16" t="s">
        <v>290</v>
      </c>
      <c r="D332" s="16" t="s">
        <v>291</v>
      </c>
      <c r="E332" s="6" t="n">
        <v>1000</v>
      </c>
      <c r="F332" s="7" t="n">
        <v>1</v>
      </c>
      <c r="G332" s="6" t="n">
        <v>28.22</v>
      </c>
      <c r="H332" s="6" t="n">
        <v>4</v>
      </c>
      <c r="I332" s="6" t="n">
        <v>28.22</v>
      </c>
      <c r="J332" s="6" t="n">
        <v>24.22</v>
      </c>
    </row>
    <row collapsed="false" customFormat="false" customHeight="false" hidden="false" ht="12.1" outlineLevel="0" r="333">
      <c r="A333" s="35" t="n">
        <v>45775</v>
      </c>
      <c r="B333" s="16" t="s">
        <v>1375</v>
      </c>
      <c r="C333" s="16" t="s">
        <v>226</v>
      </c>
      <c r="D333" s="16" t="s">
        <v>227</v>
      </c>
      <c r="E333" s="6" t="n">
        <v>1000</v>
      </c>
      <c r="F333" s="7" t="n">
        <v>2</v>
      </c>
      <c r="G333" s="6" t="n">
        <v>29.17</v>
      </c>
      <c r="H333" s="6" t="n">
        <v>8</v>
      </c>
      <c r="I333" s="6" t="n">
        <v>58.34</v>
      </c>
      <c r="J333" s="6" t="n">
        <v>50.34</v>
      </c>
    </row>
    <row collapsed="false" customFormat="false" customHeight="false" hidden="false" ht="12.1" outlineLevel="0" r="334">
      <c r="A334" s="35" t="n">
        <v>45776</v>
      </c>
      <c r="B334" s="16" t="s">
        <v>1375</v>
      </c>
      <c r="C334" s="16" t="s">
        <v>293</v>
      </c>
      <c r="D334" s="16" t="s">
        <v>294</v>
      </c>
      <c r="E334" s="6" t="n">
        <v>1000</v>
      </c>
      <c r="F334" s="7" t="n">
        <v>1</v>
      </c>
      <c r="G334" s="6" t="n">
        <v>52.59</v>
      </c>
      <c r="H334" s="6" t="n">
        <v>7</v>
      </c>
      <c r="I334" s="6" t="n">
        <v>52.59</v>
      </c>
      <c r="J334" s="6" t="n">
        <v>45.59</v>
      </c>
    </row>
    <row collapsed="false" customFormat="false" customHeight="false" hidden="false" ht="12.1" outlineLevel="0" r="335">
      <c r="A335" s="35" t="n">
        <v>45777</v>
      </c>
      <c r="B335" s="16" t="s">
        <v>1375</v>
      </c>
      <c r="C335" s="16" t="s">
        <v>916</v>
      </c>
      <c r="D335" s="16" t="s">
        <v>1383</v>
      </c>
      <c r="E335" s="6" t="n">
        <v>1000</v>
      </c>
      <c r="F335" s="7" t="n">
        <v>1</v>
      </c>
      <c r="G335" s="6" t="n">
        <v>42.38</v>
      </c>
      <c r="H335" s="6" t="n">
        <v>6</v>
      </c>
      <c r="I335" s="6" t="n">
        <v>42.38</v>
      </c>
      <c r="J335" s="6" t="n">
        <v>36.38</v>
      </c>
    </row>
    <row collapsed="false" customFormat="false" customHeight="false" hidden="false" ht="12.1" outlineLevel="0" r="336">
      <c r="A336" s="35" t="n">
        <v>45777</v>
      </c>
      <c r="B336" s="16" t="s">
        <v>1375</v>
      </c>
      <c r="C336" s="16" t="s">
        <v>199</v>
      </c>
      <c r="D336" s="16" t="s">
        <v>200</v>
      </c>
      <c r="E336" s="6" t="n">
        <v>1000</v>
      </c>
      <c r="F336" s="7" t="n">
        <v>2</v>
      </c>
      <c r="G336" s="6" t="n">
        <v>19.38</v>
      </c>
      <c r="H336" s="6" t="n">
        <v>5</v>
      </c>
      <c r="I336" s="6" t="n">
        <v>38.76</v>
      </c>
      <c r="J336" s="6" t="n">
        <v>33.76</v>
      </c>
    </row>
    <row collapsed="false" customFormat="false" customHeight="false" hidden="false" ht="12.1" outlineLevel="0" r="337">
      <c r="A337" s="35" t="n">
        <v>45778</v>
      </c>
      <c r="B337" s="16" t="s">
        <v>1375</v>
      </c>
      <c r="C337" s="16" t="s">
        <v>284</v>
      </c>
      <c r="D337" s="16" t="s">
        <v>285</v>
      </c>
      <c r="E337" s="6" t="n">
        <v>1000</v>
      </c>
      <c r="F337" s="7" t="n">
        <v>1</v>
      </c>
      <c r="G337" s="6" t="n">
        <v>59.19</v>
      </c>
      <c r="H337" s="6" t="n">
        <v>8</v>
      </c>
      <c r="I337" s="6" t="n">
        <v>59.19</v>
      </c>
      <c r="J337" s="6" t="n">
        <v>51.19</v>
      </c>
    </row>
    <row collapsed="false" customFormat="false" customHeight="false" hidden="false" ht="12.1" outlineLevel="0" r="338">
      <c r="A338" s="35" t="n">
        <v>45778</v>
      </c>
      <c r="B338" s="16" t="s">
        <v>1375</v>
      </c>
      <c r="C338" s="16" t="s">
        <v>299</v>
      </c>
      <c r="D338" s="16" t="s">
        <v>300</v>
      </c>
      <c r="E338" s="6" t="n">
        <v>1000</v>
      </c>
      <c r="F338" s="7" t="n">
        <v>1</v>
      </c>
      <c r="G338" s="6" t="n">
        <v>23.86</v>
      </c>
      <c r="H338" s="6" t="n">
        <v>3</v>
      </c>
      <c r="I338" s="6" t="n">
        <v>23.86</v>
      </c>
      <c r="J338" s="6" t="n">
        <v>20.86</v>
      </c>
    </row>
    <row collapsed="false" customFormat="false" customHeight="false" hidden="false" ht="12.1" outlineLevel="0" r="339">
      <c r="A339" s="35" t="n">
        <v>45783</v>
      </c>
      <c r="B339" s="16" t="s">
        <v>1375</v>
      </c>
      <c r="C339" s="16" t="s">
        <v>257</v>
      </c>
      <c r="D339" s="16" t="s">
        <v>258</v>
      </c>
      <c r="E339" s="6" t="n">
        <v>1000</v>
      </c>
      <c r="F339" s="7" t="n">
        <v>1</v>
      </c>
      <c r="G339" s="6" t="n">
        <v>19.24</v>
      </c>
      <c r="H339" s="6" t="n">
        <v>3</v>
      </c>
      <c r="I339" s="6" t="n">
        <v>19.24</v>
      </c>
      <c r="J339" s="6" t="n">
        <v>16.24</v>
      </c>
    </row>
    <row collapsed="false" customFormat="false" customHeight="false" hidden="false" ht="12.1" outlineLevel="0" r="340">
      <c r="A340" s="35" t="n">
        <v>45784</v>
      </c>
      <c r="B340" s="16" t="s">
        <v>1375</v>
      </c>
      <c r="C340" s="16" t="s">
        <v>234</v>
      </c>
      <c r="D340" s="16" t="s">
        <v>235</v>
      </c>
      <c r="E340" s="6" t="n">
        <v>1000</v>
      </c>
      <c r="F340" s="7" t="n">
        <v>1</v>
      </c>
      <c r="G340" s="6" t="n">
        <v>19.11</v>
      </c>
      <c r="H340" s="6" t="n">
        <v>2</v>
      </c>
      <c r="I340" s="6" t="n">
        <v>19.11</v>
      </c>
      <c r="J340" s="6" t="n">
        <v>17.11</v>
      </c>
    </row>
    <row collapsed="false" customFormat="false" customHeight="false" hidden="false" ht="12.1" outlineLevel="0" r="341">
      <c r="A341" s="35" t="n">
        <v>45785</v>
      </c>
      <c r="B341" s="16" t="s">
        <v>1375</v>
      </c>
      <c r="C341" s="16" t="s">
        <v>223</v>
      </c>
      <c r="D341" s="16" t="s">
        <v>224</v>
      </c>
      <c r="E341" s="6" t="n">
        <v>1000</v>
      </c>
      <c r="F341" s="7" t="n">
        <v>2</v>
      </c>
      <c r="G341" s="6" t="n">
        <v>45.38</v>
      </c>
      <c r="H341" s="6" t="n">
        <v>12</v>
      </c>
      <c r="I341" s="6" t="n">
        <v>90.76</v>
      </c>
      <c r="J341" s="6" t="n">
        <v>78.76</v>
      </c>
    </row>
    <row collapsed="false" customFormat="false" customHeight="false" hidden="false" ht="12.1" outlineLevel="0" r="342">
      <c r="A342" s="35" t="n">
        <v>45790</v>
      </c>
      <c r="B342" s="16" t="s">
        <v>1375</v>
      </c>
      <c r="C342" s="16" t="s">
        <v>109</v>
      </c>
      <c r="D342" s="16" t="s">
        <v>110</v>
      </c>
      <c r="E342" s="6" t="n">
        <v>1000</v>
      </c>
      <c r="F342" s="7" t="n">
        <v>11</v>
      </c>
      <c r="G342" s="6" t="n">
        <v>93.99</v>
      </c>
      <c r="H342" s="6" t="n">
        <v>134</v>
      </c>
      <c r="I342" s="6" t="n">
        <v>1033.89</v>
      </c>
      <c r="J342" s="6" t="n">
        <v>899.89</v>
      </c>
    </row>
    <row collapsed="false" customFormat="false" customHeight="false" hidden="false" ht="12.1" outlineLevel="0" r="343">
      <c r="A343" s="35" t="n">
        <v>45790</v>
      </c>
      <c r="B343" s="16" t="s">
        <v>1375</v>
      </c>
      <c r="C343" s="16" t="s">
        <v>935</v>
      </c>
      <c r="D343" s="16" t="s">
        <v>1393</v>
      </c>
      <c r="E343" s="6" t="n">
        <v>300</v>
      </c>
      <c r="F343" s="7" t="n">
        <v>1</v>
      </c>
      <c r="G343" s="6" t="n">
        <v>4.67</v>
      </c>
      <c r="H343" s="6" t="n">
        <v>1</v>
      </c>
      <c r="I343" s="6" t="n">
        <v>4.67</v>
      </c>
      <c r="J343" s="6" t="n">
        <v>3.67</v>
      </c>
    </row>
    <row collapsed="false" customFormat="false" customHeight="false" hidden="false" ht="12.1" outlineLevel="0" r="344">
      <c r="A344" s="35" t="n">
        <v>45792</v>
      </c>
      <c r="B344" s="16" t="s">
        <v>1375</v>
      </c>
      <c r="C344" s="16" t="s">
        <v>317</v>
      </c>
      <c r="D344" s="16" t="s">
        <v>318</v>
      </c>
      <c r="E344" s="6" t="n">
        <v>1000</v>
      </c>
      <c r="F344" s="7" t="n">
        <v>1</v>
      </c>
      <c r="G344" s="6" t="n">
        <v>19.21</v>
      </c>
      <c r="H344" s="6" t="n">
        <v>2</v>
      </c>
      <c r="I344" s="6" t="n">
        <v>19.21</v>
      </c>
      <c r="J344" s="6" t="n">
        <v>17.21</v>
      </c>
    </row>
    <row collapsed="false" customFormat="false" customHeight="false" hidden="false" ht="12.1" outlineLevel="0" r="345">
      <c r="A345" s="35" t="n">
        <v>45795</v>
      </c>
      <c r="B345" s="16" t="s">
        <v>1375</v>
      </c>
      <c r="C345" s="16" t="s">
        <v>923</v>
      </c>
      <c r="D345" s="16" t="s">
        <v>1385</v>
      </c>
      <c r="E345" s="6" t="n">
        <v>200</v>
      </c>
      <c r="F345" s="7" t="n">
        <v>2</v>
      </c>
      <c r="G345" s="6" t="n">
        <v>6.48</v>
      </c>
      <c r="H345" s="6" t="n">
        <v>2</v>
      </c>
      <c r="I345" s="6" t="n">
        <v>12.96</v>
      </c>
      <c r="J345" s="6" t="n">
        <v>10.96</v>
      </c>
    </row>
    <row collapsed="false" customFormat="false" customHeight="false" hidden="false" ht="12.1" outlineLevel="0" r="346">
      <c r="A346" s="35" t="n">
        <v>45797</v>
      </c>
      <c r="B346" s="16" t="s">
        <v>1375</v>
      </c>
      <c r="C346" s="16" t="s">
        <v>139</v>
      </c>
      <c r="D346" s="16" t="s">
        <v>140</v>
      </c>
      <c r="E346" s="6" t="n">
        <v>1202.33</v>
      </c>
      <c r="F346" s="7" t="n">
        <v>6</v>
      </c>
      <c r="G346" s="6" t="n">
        <v>14.99</v>
      </c>
      <c r="H346" s="6" t="n">
        <v>12</v>
      </c>
      <c r="I346" s="6" t="n">
        <v>89.94</v>
      </c>
      <c r="J346" s="6" t="n">
        <v>77.94</v>
      </c>
    </row>
    <row collapsed="false" customFormat="false" customHeight="false" hidden="false" ht="12.1" outlineLevel="0" r="347">
      <c r="A347" s="35" t="n">
        <v>45797</v>
      </c>
      <c r="B347" s="16" t="s">
        <v>1375</v>
      </c>
      <c r="C347" s="16" t="s">
        <v>136</v>
      </c>
      <c r="D347" s="16" t="s">
        <v>137</v>
      </c>
      <c r="E347" s="6" t="n">
        <v>1000</v>
      </c>
      <c r="F347" s="7" t="n">
        <v>10</v>
      </c>
      <c r="G347" s="6" t="n">
        <v>36.15</v>
      </c>
      <c r="H347" s="6" t="n">
        <v>47</v>
      </c>
      <c r="I347" s="6" t="n">
        <v>361.5</v>
      </c>
      <c r="J347" s="6" t="n">
        <v>314.5</v>
      </c>
    </row>
    <row collapsed="false" customFormat="false" customHeight="false" hidden="false" ht="12.1" outlineLevel="0" r="348">
      <c r="A348" s="35" t="n">
        <v>45798</v>
      </c>
      <c r="B348" s="16" t="s">
        <v>1375</v>
      </c>
      <c r="C348" s="16" t="s">
        <v>246</v>
      </c>
      <c r="D348" s="16" t="s">
        <v>247</v>
      </c>
      <c r="E348" s="6" t="n">
        <v>1000</v>
      </c>
      <c r="F348" s="7" t="n">
        <v>1</v>
      </c>
      <c r="G348" s="6" t="n">
        <v>20.96</v>
      </c>
      <c r="H348" s="6" t="n">
        <v>3</v>
      </c>
      <c r="I348" s="6" t="n">
        <v>20.96</v>
      </c>
      <c r="J348" s="6" t="n">
        <v>17.96</v>
      </c>
    </row>
    <row collapsed="false" customFormat="false" customHeight="false" hidden="false" ht="12.1" outlineLevel="0" r="349">
      <c r="A349" s="35" t="n">
        <v>45798</v>
      </c>
      <c r="B349" s="16" t="s">
        <v>1375</v>
      </c>
      <c r="C349" s="16" t="s">
        <v>331</v>
      </c>
      <c r="D349" s="16" t="s">
        <v>332</v>
      </c>
      <c r="E349" s="6" t="n">
        <v>375</v>
      </c>
      <c r="F349" s="7" t="n">
        <v>1</v>
      </c>
      <c r="G349" s="6" t="n">
        <v>6.5</v>
      </c>
      <c r="H349" s="6" t="n">
        <v>1</v>
      </c>
      <c r="I349" s="6" t="n">
        <v>6.5</v>
      </c>
      <c r="J349" s="6" t="n">
        <v>5.5</v>
      </c>
    </row>
    <row collapsed="false" customFormat="false" customHeight="false" hidden="false" ht="12.1" outlineLevel="0" r="350">
      <c r="A350" s="35" t="n">
        <v>45799</v>
      </c>
      <c r="B350" s="16" t="s">
        <v>1375</v>
      </c>
      <c r="C350" s="16" t="s">
        <v>323</v>
      </c>
      <c r="D350" s="16" t="s">
        <v>324</v>
      </c>
      <c r="E350" s="6" t="n">
        <v>1000</v>
      </c>
      <c r="F350" s="7" t="n">
        <v>1</v>
      </c>
      <c r="G350" s="6" t="n">
        <v>11.18</v>
      </c>
      <c r="H350" s="6" t="n">
        <v>1</v>
      </c>
      <c r="I350" s="6" t="n">
        <v>11.18</v>
      </c>
      <c r="J350" s="6" t="n">
        <v>10.18</v>
      </c>
    </row>
    <row collapsed="false" customFormat="false" customHeight="false" hidden="false" ht="12.1" outlineLevel="0" r="351">
      <c r="A351" s="35" t="n">
        <v>45801</v>
      </c>
      <c r="B351" s="16" t="s">
        <v>1375</v>
      </c>
      <c r="C351" s="16" t="s">
        <v>202</v>
      </c>
      <c r="D351" s="16" t="s">
        <v>203</v>
      </c>
      <c r="E351" s="6" t="n">
        <v>1000</v>
      </c>
      <c r="F351" s="7" t="n">
        <v>2</v>
      </c>
      <c r="G351" s="6" t="n">
        <v>18.16</v>
      </c>
      <c r="H351" s="6" t="n">
        <v>5</v>
      </c>
      <c r="I351" s="6" t="n">
        <v>36.32</v>
      </c>
      <c r="J351" s="6" t="n">
        <v>31.32</v>
      </c>
    </row>
    <row collapsed="false" customFormat="false" customHeight="false" hidden="false" ht="12.1" outlineLevel="0" r="352">
      <c r="A352" s="35" t="n">
        <v>45803</v>
      </c>
      <c r="B352" s="16" t="s">
        <v>1375</v>
      </c>
      <c r="C352" s="16" t="s">
        <v>172</v>
      </c>
      <c r="D352" s="16" t="s">
        <v>173</v>
      </c>
      <c r="E352" s="6" t="n">
        <v>1000</v>
      </c>
      <c r="F352" s="7" t="n">
        <v>3</v>
      </c>
      <c r="G352" s="6" t="n">
        <v>24.93</v>
      </c>
      <c r="H352" s="6" t="n">
        <v>10</v>
      </c>
      <c r="I352" s="6" t="n">
        <v>74.79</v>
      </c>
      <c r="J352" s="6" t="n">
        <v>64.79</v>
      </c>
    </row>
    <row collapsed="false" customFormat="false" customHeight="false" hidden="false" ht="12.1" outlineLevel="0" r="353">
      <c r="A353" s="35" t="n">
        <v>45804</v>
      </c>
      <c r="B353" s="16" t="s">
        <v>1375</v>
      </c>
      <c r="C353" s="16" t="s">
        <v>115</v>
      </c>
      <c r="D353" s="16" t="s">
        <v>116</v>
      </c>
      <c r="E353" s="6" t="n">
        <v>1000</v>
      </c>
      <c r="F353" s="7" t="n">
        <v>6</v>
      </c>
      <c r="G353" s="6" t="n">
        <v>61.08</v>
      </c>
      <c r="H353" s="6" t="n">
        <v>48</v>
      </c>
      <c r="I353" s="6" t="n">
        <v>366.48</v>
      </c>
      <c r="J353" s="6" t="n">
        <v>318.48</v>
      </c>
    </row>
    <row collapsed="false" customFormat="false" customHeight="false" hidden="false" ht="12.1" outlineLevel="0" r="354">
      <c r="A354" s="35" t="n">
        <v>45804</v>
      </c>
      <c r="B354" s="16" t="s">
        <v>1375</v>
      </c>
      <c r="C354" s="16" t="s">
        <v>118</v>
      </c>
      <c r="D354" s="16" t="s">
        <v>119</v>
      </c>
      <c r="E354" s="6" t="n">
        <v>1000</v>
      </c>
      <c r="F354" s="7" t="n">
        <v>10</v>
      </c>
      <c r="G354" s="6" t="n">
        <v>47.37</v>
      </c>
      <c r="H354" s="6" t="n">
        <v>62</v>
      </c>
      <c r="I354" s="6" t="n">
        <v>473.7</v>
      </c>
      <c r="J354" s="6" t="n">
        <v>411.7</v>
      </c>
    </row>
    <row collapsed="false" customFormat="false" customHeight="false" hidden="false" ht="12.1" outlineLevel="0" r="355">
      <c r="A355" s="35" t="n">
        <v>45805</v>
      </c>
      <c r="B355" s="16" t="s">
        <v>1375</v>
      </c>
      <c r="C355" s="16" t="s">
        <v>252</v>
      </c>
      <c r="D355" s="16" t="s">
        <v>253</v>
      </c>
      <c r="E355" s="6" t="n">
        <v>1000</v>
      </c>
      <c r="F355" s="7" t="n">
        <v>1</v>
      </c>
      <c r="G355" s="6" t="n">
        <v>19.48</v>
      </c>
      <c r="H355" s="6" t="n">
        <v>3</v>
      </c>
      <c r="I355" s="6" t="n">
        <v>19.48</v>
      </c>
      <c r="J355" s="6" t="n">
        <v>16.48</v>
      </c>
    </row>
    <row collapsed="false" customFormat="false" customHeight="false" hidden="false" ht="12.1" outlineLevel="0" r="356">
      <c r="A356" s="35" t="n">
        <v>45805</v>
      </c>
      <c r="B356" s="16" t="s">
        <v>1375</v>
      </c>
      <c r="C356" s="16" t="s">
        <v>278</v>
      </c>
      <c r="D356" s="16" t="s">
        <v>279</v>
      </c>
      <c r="E356" s="6" t="n">
        <v>1000</v>
      </c>
      <c r="F356" s="7" t="n">
        <v>1</v>
      </c>
      <c r="G356" s="6" t="n">
        <v>19.2</v>
      </c>
      <c r="H356" s="6" t="n">
        <v>2</v>
      </c>
      <c r="I356" s="6" t="n">
        <v>19.2</v>
      </c>
      <c r="J356" s="6" t="n">
        <v>17.2</v>
      </c>
    </row>
    <row collapsed="false" customFormat="false" customHeight="false" hidden="false" ht="12.1" outlineLevel="0" r="357">
      <c r="A357" s="35" t="n">
        <v>45806</v>
      </c>
      <c r="B357" s="16" t="s">
        <v>1375</v>
      </c>
      <c r="C357" s="16" t="s">
        <v>260</v>
      </c>
      <c r="D357" s="16" t="s">
        <v>261</v>
      </c>
      <c r="E357" s="6" t="n">
        <v>1000</v>
      </c>
      <c r="F357" s="7" t="n">
        <v>1</v>
      </c>
      <c r="G357" s="6" t="n">
        <v>24.81</v>
      </c>
      <c r="H357" s="6" t="n">
        <v>3</v>
      </c>
      <c r="I357" s="6" t="n">
        <v>24.81</v>
      </c>
      <c r="J357" s="6" t="n">
        <v>21.81</v>
      </c>
    </row>
    <row collapsed="false" customFormat="false" customHeight="false" hidden="false" ht="12.1" outlineLevel="0" r="358">
      <c r="A358" s="35" t="n">
        <v>45808</v>
      </c>
      <c r="B358" s="16" t="s">
        <v>1375</v>
      </c>
      <c r="C358" s="16" t="s">
        <v>199</v>
      </c>
      <c r="D358" s="16" t="s">
        <v>200</v>
      </c>
      <c r="E358" s="6" t="n">
        <v>1000</v>
      </c>
      <c r="F358" s="7" t="n">
        <v>2</v>
      </c>
      <c r="G358" s="6" t="n">
        <v>19.3</v>
      </c>
      <c r="H358" s="6" t="n">
        <v>5</v>
      </c>
      <c r="I358" s="6" t="n">
        <v>38.6</v>
      </c>
      <c r="J358" s="6" t="n">
        <v>33.6</v>
      </c>
    </row>
    <row collapsed="false" customFormat="false" customHeight="false" hidden="false" ht="12.1" outlineLevel="0" r="359">
      <c r="A359" s="35" t="n">
        <v>45809</v>
      </c>
      <c r="B359" s="16" t="s">
        <v>1375</v>
      </c>
      <c r="C359" s="16" t="s">
        <v>314</v>
      </c>
      <c r="D359" s="16" t="s">
        <v>315</v>
      </c>
      <c r="E359" s="6" t="n">
        <v>1000</v>
      </c>
      <c r="F359" s="7" t="n">
        <v>1</v>
      </c>
      <c r="G359" s="6" t="n">
        <v>25.68</v>
      </c>
      <c r="H359" s="6" t="n">
        <v>3</v>
      </c>
      <c r="I359" s="6" t="n">
        <v>25.68</v>
      </c>
      <c r="J359" s="6" t="n">
        <v>22.68</v>
      </c>
    </row>
    <row collapsed="false" customFormat="false" customHeight="false" hidden="false" ht="12.1" outlineLevel="0" r="360">
      <c r="A360" s="35" t="n">
        <v>45809</v>
      </c>
      <c r="B360" s="16" t="s">
        <v>1375</v>
      </c>
      <c r="C360" s="16" t="s">
        <v>196</v>
      </c>
      <c r="D360" s="16" t="s">
        <v>197</v>
      </c>
      <c r="E360" s="6" t="n">
        <v>1000</v>
      </c>
      <c r="F360" s="7" t="n">
        <v>2</v>
      </c>
      <c r="G360" s="6" t="n">
        <v>19.95</v>
      </c>
      <c r="H360" s="6" t="n">
        <v>5</v>
      </c>
      <c r="I360" s="6" t="n">
        <v>39.9</v>
      </c>
      <c r="J360" s="6" t="n">
        <v>34.9</v>
      </c>
    </row>
    <row collapsed="false" customFormat="false" customHeight="false" hidden="false" ht="12.1" outlineLevel="0" r="361">
      <c r="A361" s="35" t="n">
        <v>45810</v>
      </c>
      <c r="B361" s="16" t="s">
        <v>1375</v>
      </c>
      <c r="C361" s="16" t="s">
        <v>211</v>
      </c>
      <c r="D361" s="16" t="s">
        <v>212</v>
      </c>
      <c r="E361" s="6" t="n">
        <v>1000</v>
      </c>
      <c r="F361" s="7" t="n">
        <v>1</v>
      </c>
      <c r="G361" s="6" t="n">
        <v>56.1</v>
      </c>
      <c r="H361" s="6" t="n">
        <v>7</v>
      </c>
      <c r="I361" s="6" t="n">
        <v>56.1</v>
      </c>
      <c r="J361" s="6" t="n">
        <v>49.1</v>
      </c>
    </row>
    <row collapsed="false" customFormat="false" customHeight="false" hidden="false" ht="12.1" outlineLevel="0" r="362">
      <c r="A362" s="35" t="n">
        <v>45810</v>
      </c>
      <c r="B362" s="16" t="s">
        <v>1375</v>
      </c>
      <c r="C362" s="16" t="s">
        <v>266</v>
      </c>
      <c r="D362" s="16" t="s">
        <v>267</v>
      </c>
      <c r="E362" s="6" t="n">
        <v>1000</v>
      </c>
      <c r="F362" s="7" t="n">
        <v>1</v>
      </c>
      <c r="G362" s="6" t="n">
        <v>29.17</v>
      </c>
      <c r="H362" s="6" t="n">
        <v>4</v>
      </c>
      <c r="I362" s="6" t="n">
        <v>29.17</v>
      </c>
      <c r="J362" s="6" t="n">
        <v>25.17</v>
      </c>
    </row>
    <row collapsed="false" customFormat="false" customHeight="false" hidden="false" ht="12.1" outlineLevel="0" r="363">
      <c r="A363" s="35" t="n">
        <v>45811</v>
      </c>
      <c r="B363" s="16" t="s">
        <v>1375</v>
      </c>
      <c r="C363" s="16" t="s">
        <v>308</v>
      </c>
      <c r="D363" s="16" t="s">
        <v>309</v>
      </c>
      <c r="E363" s="6" t="n">
        <v>1000</v>
      </c>
      <c r="F363" s="7" t="n">
        <v>1</v>
      </c>
      <c r="G363" s="6" t="n">
        <v>56.84</v>
      </c>
      <c r="H363" s="6" t="n">
        <v>7</v>
      </c>
      <c r="I363" s="6" t="n">
        <v>56.84</v>
      </c>
      <c r="J363" s="6" t="n">
        <v>49.84</v>
      </c>
    </row>
    <row collapsed="false" customFormat="false" customHeight="false" hidden="false" ht="12.1" outlineLevel="0" r="364">
      <c r="A364" s="35" t="n">
        <v>45811</v>
      </c>
      <c r="B364" s="16" t="s">
        <v>1375</v>
      </c>
      <c r="C364" s="16" t="s">
        <v>329</v>
      </c>
      <c r="D364" s="16" t="s">
        <v>330</v>
      </c>
      <c r="E364" s="6" t="n">
        <v>1000</v>
      </c>
      <c r="F364" s="7" t="n">
        <v>1</v>
      </c>
      <c r="G364" s="6" t="n">
        <v>19.87</v>
      </c>
      <c r="H364" s="6" t="n">
        <v>3</v>
      </c>
      <c r="I364" s="6" t="n">
        <v>19.87</v>
      </c>
      <c r="J364" s="6" t="n">
        <v>16.87</v>
      </c>
    </row>
    <row collapsed="false" customFormat="false" customHeight="false" hidden="false" ht="12.1" outlineLevel="0" r="365">
      <c r="A365" s="35" t="n">
        <v>45811</v>
      </c>
      <c r="B365" s="16" t="s">
        <v>1375</v>
      </c>
      <c r="C365" s="16" t="s">
        <v>94</v>
      </c>
      <c r="D365" s="16" t="s">
        <v>95</v>
      </c>
      <c r="E365" s="6" t="n">
        <v>1000</v>
      </c>
      <c r="F365" s="7" t="n">
        <v>23</v>
      </c>
      <c r="G365" s="6" t="n">
        <v>35.4</v>
      </c>
      <c r="H365" s="6" t="n">
        <v>106</v>
      </c>
      <c r="I365" s="6" t="n">
        <v>814.2</v>
      </c>
      <c r="J365" s="6" t="n">
        <v>708.2</v>
      </c>
    </row>
    <row collapsed="false" customFormat="false" customHeight="false" hidden="false" ht="12.1" outlineLevel="0" r="366">
      <c r="A366" s="35" t="n">
        <v>45811</v>
      </c>
      <c r="B366" s="16" t="s">
        <v>1375</v>
      </c>
      <c r="C366" s="16" t="s">
        <v>320</v>
      </c>
      <c r="D366" s="16" t="s">
        <v>321</v>
      </c>
      <c r="E366" s="6" t="n">
        <v>1000</v>
      </c>
      <c r="F366" s="7" t="n">
        <v>1</v>
      </c>
      <c r="G366" s="6" t="n">
        <v>19.55</v>
      </c>
      <c r="H366" s="6" t="n">
        <v>3</v>
      </c>
      <c r="I366" s="6" t="n">
        <v>19.55</v>
      </c>
      <c r="J366" s="6" t="n">
        <v>16.55</v>
      </c>
    </row>
    <row collapsed="false" customFormat="false" customHeight="false" hidden="false" ht="12.1" outlineLevel="0" r="367">
      <c r="A367" s="35" t="n">
        <v>45811</v>
      </c>
      <c r="B367" s="16" t="s">
        <v>1375</v>
      </c>
      <c r="C367" s="16" t="s">
        <v>91</v>
      </c>
      <c r="D367" s="16" t="s">
        <v>92</v>
      </c>
      <c r="E367" s="6" t="n">
        <v>1000</v>
      </c>
      <c r="F367" s="7" t="n">
        <v>12</v>
      </c>
      <c r="G367" s="6" t="n">
        <v>48.87</v>
      </c>
      <c r="H367" s="6" t="n">
        <v>76</v>
      </c>
      <c r="I367" s="6" t="n">
        <v>586.44</v>
      </c>
      <c r="J367" s="6" t="n">
        <v>510.44</v>
      </c>
    </row>
    <row collapsed="false" customFormat="false" customHeight="false" hidden="false" ht="12.1" outlineLevel="0" r="368">
      <c r="A368" s="35" t="n">
        <v>45811</v>
      </c>
      <c r="B368" s="16" t="s">
        <v>1375</v>
      </c>
      <c r="C368" s="16" t="s">
        <v>924</v>
      </c>
      <c r="D368" s="16" t="s">
        <v>1386</v>
      </c>
      <c r="E368" s="6" t="n">
        <v>1000</v>
      </c>
      <c r="F368" s="7" t="n">
        <v>2</v>
      </c>
      <c r="G368" s="6" t="n">
        <v>32.66</v>
      </c>
      <c r="H368" s="6" t="n">
        <v>8</v>
      </c>
      <c r="I368" s="6" t="n">
        <v>65.32</v>
      </c>
      <c r="J368" s="6" t="n">
        <v>57.32</v>
      </c>
    </row>
    <row collapsed="false" customFormat="false" customHeight="false" hidden="false" ht="12.1" outlineLevel="0" r="369">
      <c r="A369" s="35" t="n">
        <v>45811</v>
      </c>
      <c r="B369" s="16" t="s">
        <v>1375</v>
      </c>
      <c r="C369" s="16" t="s">
        <v>100</v>
      </c>
      <c r="D369" s="16" t="s">
        <v>101</v>
      </c>
      <c r="E369" s="6" t="n">
        <v>1000</v>
      </c>
      <c r="F369" s="7" t="n">
        <v>8</v>
      </c>
      <c r="G369" s="6" t="n">
        <v>61.08</v>
      </c>
      <c r="H369" s="6" t="n">
        <v>64</v>
      </c>
      <c r="I369" s="6" t="n">
        <v>488.64</v>
      </c>
      <c r="J369" s="6" t="n">
        <v>424.64</v>
      </c>
    </row>
    <row collapsed="false" customFormat="false" customHeight="false" hidden="false" ht="12.1" outlineLevel="0" r="370">
      <c r="A370" s="35" t="n">
        <v>45812</v>
      </c>
      <c r="B370" s="16" t="s">
        <v>1375</v>
      </c>
      <c r="C370" s="16" t="s">
        <v>934</v>
      </c>
      <c r="D370" s="16" t="s">
        <v>1392</v>
      </c>
      <c r="E370" s="6" t="n">
        <v>263</v>
      </c>
      <c r="F370" s="7" t="n">
        <v>1</v>
      </c>
      <c r="G370" s="6" t="n">
        <v>6.49</v>
      </c>
      <c r="H370" s="6" t="n">
        <v>1</v>
      </c>
      <c r="I370" s="6" t="n">
        <v>6.49</v>
      </c>
      <c r="J370" s="6" t="n">
        <v>5.49</v>
      </c>
    </row>
    <row collapsed="false" customFormat="false" customHeight="false" hidden="false" ht="12.1" outlineLevel="0" r="371">
      <c r="A371" s="35" t="n">
        <v>45812</v>
      </c>
      <c r="B371" s="16" t="s">
        <v>1375</v>
      </c>
      <c r="C371" s="16" t="s">
        <v>281</v>
      </c>
      <c r="D371" s="16" t="s">
        <v>282</v>
      </c>
      <c r="E371" s="6" t="n">
        <v>1000</v>
      </c>
      <c r="F371" s="7" t="n">
        <v>1</v>
      </c>
      <c r="G371" s="6" t="n">
        <v>35.53</v>
      </c>
      <c r="H371" s="6" t="n">
        <v>5</v>
      </c>
      <c r="I371" s="6" t="n">
        <v>35.53</v>
      </c>
      <c r="J371" s="6" t="n">
        <v>30.53</v>
      </c>
    </row>
    <row collapsed="false" customFormat="false" customHeight="false" hidden="false" ht="12.1" outlineLevel="0" r="372">
      <c r="A372" s="35" t="n">
        <v>45814</v>
      </c>
      <c r="B372" s="16" t="s">
        <v>1375</v>
      </c>
      <c r="C372" s="16" t="s">
        <v>234</v>
      </c>
      <c r="D372" s="16" t="s">
        <v>235</v>
      </c>
      <c r="E372" s="6" t="n">
        <v>1000</v>
      </c>
      <c r="F372" s="7" t="n">
        <v>1</v>
      </c>
      <c r="G372" s="6" t="n">
        <v>19.11</v>
      </c>
      <c r="H372" s="6" t="n">
        <v>2</v>
      </c>
      <c r="I372" s="6" t="n">
        <v>19.11</v>
      </c>
      <c r="J372" s="6" t="n">
        <v>17.11</v>
      </c>
    </row>
    <row collapsed="false" customFormat="false" customHeight="false" hidden="false" ht="12.1" outlineLevel="0" r="373">
      <c r="A373" s="35" t="n">
        <v>45814</v>
      </c>
      <c r="B373" s="16" t="s">
        <v>1375</v>
      </c>
      <c r="C373" s="16" t="s">
        <v>257</v>
      </c>
      <c r="D373" s="16" t="s">
        <v>258</v>
      </c>
      <c r="E373" s="6" t="n">
        <v>1000</v>
      </c>
      <c r="F373" s="7" t="n">
        <v>1</v>
      </c>
      <c r="G373" s="6" t="n">
        <v>19.04</v>
      </c>
      <c r="H373" s="6" t="n">
        <v>2</v>
      </c>
      <c r="I373" s="6" t="n">
        <v>19.04</v>
      </c>
      <c r="J373" s="6" t="n">
        <v>17.04</v>
      </c>
    </row>
    <row collapsed="false" customFormat="false" customHeight="false" hidden="false" ht="12.1" outlineLevel="0" r="374">
      <c r="A374" s="35" t="n">
        <v>45817</v>
      </c>
      <c r="B374" s="16" t="s">
        <v>1375</v>
      </c>
      <c r="C374" s="16" t="s">
        <v>926</v>
      </c>
      <c r="D374" s="16" t="s">
        <v>1387</v>
      </c>
      <c r="E374" s="6" t="n">
        <v>860</v>
      </c>
      <c r="F374" s="7" t="n">
        <v>1</v>
      </c>
      <c r="G374" s="6" t="n">
        <v>28.95</v>
      </c>
      <c r="H374" s="6" t="n">
        <v>4</v>
      </c>
      <c r="I374" s="6" t="n">
        <v>28.95</v>
      </c>
      <c r="J374" s="6" t="n">
        <v>24.95</v>
      </c>
    </row>
    <row collapsed="false" customFormat="false" customHeight="false" hidden="false" ht="12.1" outlineLevel="0" r="375">
      <c r="A375" s="35" t="n">
        <v>45820</v>
      </c>
      <c r="B375" s="16" t="s">
        <v>1375</v>
      </c>
      <c r="C375" s="16" t="s">
        <v>229</v>
      </c>
      <c r="D375" s="16" t="s">
        <v>230</v>
      </c>
      <c r="E375" s="6" t="n">
        <v>1000</v>
      </c>
      <c r="F375" s="7" t="n">
        <v>2</v>
      </c>
      <c r="G375" s="6" t="n">
        <v>17.83</v>
      </c>
      <c r="H375" s="6" t="n">
        <v>5</v>
      </c>
      <c r="I375" s="6" t="n">
        <v>35.66</v>
      </c>
      <c r="J375" s="6" t="n">
        <v>30.66</v>
      </c>
    </row>
    <row collapsed="false" customFormat="false" customHeight="false" hidden="false" ht="12.1" outlineLevel="0" r="376">
      <c r="A376" s="35" t="n">
        <v>45823</v>
      </c>
      <c r="B376" s="16" t="s">
        <v>1375</v>
      </c>
      <c r="C376" s="16" t="s">
        <v>317</v>
      </c>
      <c r="D376" s="16" t="s">
        <v>318</v>
      </c>
      <c r="E376" s="6" t="n">
        <v>1000</v>
      </c>
      <c r="F376" s="7" t="n">
        <v>1</v>
      </c>
      <c r="G376" s="6" t="n">
        <v>18.75</v>
      </c>
      <c r="H376" s="6" t="n">
        <v>2</v>
      </c>
      <c r="I376" s="6" t="n">
        <v>18.75</v>
      </c>
      <c r="J376" s="6" t="n">
        <v>16.75</v>
      </c>
    </row>
    <row collapsed="false" customFormat="false" customHeight="false" hidden="false" ht="12.1" outlineLevel="0" r="377">
      <c r="A377" s="35" t="n">
        <v>45825</v>
      </c>
      <c r="B377" s="16" t="s">
        <v>1375</v>
      </c>
      <c r="C377" s="16" t="s">
        <v>88</v>
      </c>
      <c r="D377" s="16" t="s">
        <v>89</v>
      </c>
      <c r="E377" s="6" t="n">
        <v>1000</v>
      </c>
      <c r="F377" s="7" t="n">
        <v>14</v>
      </c>
      <c r="G377" s="6" t="n">
        <v>99.33</v>
      </c>
      <c r="H377" s="6" t="n">
        <v>181</v>
      </c>
      <c r="I377" s="6" t="n">
        <v>1390.62</v>
      </c>
      <c r="J377" s="6" t="n">
        <v>1209.62</v>
      </c>
    </row>
    <row collapsed="false" customFormat="false" customHeight="false" hidden="false" ht="12.1" outlineLevel="0" r="378">
      <c r="A378" s="35" t="n">
        <v>45828</v>
      </c>
      <c r="B378" s="16" t="s">
        <v>1375</v>
      </c>
      <c r="C378" s="16" t="s">
        <v>246</v>
      </c>
      <c r="D378" s="16" t="s">
        <v>247</v>
      </c>
      <c r="E378" s="6" t="n">
        <v>1000</v>
      </c>
      <c r="F378" s="7" t="n">
        <v>1</v>
      </c>
      <c r="G378" s="6" t="n">
        <v>20.96</v>
      </c>
      <c r="H378" s="6" t="n">
        <v>3</v>
      </c>
      <c r="I378" s="6" t="n">
        <v>20.96</v>
      </c>
      <c r="J378" s="6" t="n">
        <v>17.96</v>
      </c>
    </row>
    <row collapsed="false" customFormat="false" customHeight="false" hidden="false" ht="12.1" outlineLevel="0" r="379">
      <c r="A379" s="35" t="n">
        <v>45829</v>
      </c>
      <c r="B379" s="16" t="s">
        <v>1375</v>
      </c>
      <c r="C379" s="16" t="s">
        <v>323</v>
      </c>
      <c r="D379" s="16" t="s">
        <v>324</v>
      </c>
      <c r="E379" s="6" t="n">
        <v>1000</v>
      </c>
      <c r="F379" s="7" t="n">
        <v>1</v>
      </c>
      <c r="G379" s="6" t="n">
        <v>11.18</v>
      </c>
      <c r="H379" s="6" t="n">
        <v>1</v>
      </c>
      <c r="I379" s="6" t="n">
        <v>11.18</v>
      </c>
      <c r="J379" s="6" t="n">
        <v>10.18</v>
      </c>
    </row>
    <row collapsed="false" customFormat="false" customHeight="false" hidden="false" ht="12.1" outlineLevel="0" r="380">
      <c r="A380" s="35" t="n">
        <v>45831</v>
      </c>
      <c r="B380" s="16" t="s">
        <v>1375</v>
      </c>
      <c r="C380" s="16" t="s">
        <v>202</v>
      </c>
      <c r="D380" s="16" t="s">
        <v>203</v>
      </c>
      <c r="E380" s="6" t="n">
        <v>1000</v>
      </c>
      <c r="F380" s="7" t="n">
        <v>2</v>
      </c>
      <c r="G380" s="6" t="n">
        <v>18.16</v>
      </c>
      <c r="H380" s="6" t="n">
        <v>5</v>
      </c>
      <c r="I380" s="6" t="n">
        <v>36.32</v>
      </c>
      <c r="J380" s="6" t="n">
        <v>31.32</v>
      </c>
    </row>
    <row collapsed="false" customFormat="false" customHeight="false" hidden="false" ht="12.1" outlineLevel="0" r="381">
      <c r="A381" s="35" t="n">
        <v>45834</v>
      </c>
      <c r="B381" s="16" t="s">
        <v>1375</v>
      </c>
      <c r="C381" s="16" t="s">
        <v>296</v>
      </c>
      <c r="D381" s="16" t="s">
        <v>297</v>
      </c>
      <c r="E381" s="6" t="n">
        <v>700</v>
      </c>
      <c r="F381" s="7" t="n">
        <v>2</v>
      </c>
      <c r="G381" s="6" t="n">
        <v>23.04</v>
      </c>
      <c r="H381" s="6" t="n">
        <v>6</v>
      </c>
      <c r="I381" s="6" t="n">
        <v>46.08</v>
      </c>
      <c r="J381" s="6" t="n">
        <v>40.08</v>
      </c>
    </row>
    <row collapsed="false" customFormat="false" customHeight="false" hidden="false" ht="12.1" outlineLevel="0" r="382">
      <c r="A382" s="35" t="n">
        <v>45835</v>
      </c>
      <c r="B382" s="16" t="s">
        <v>1375</v>
      </c>
      <c r="C382" s="16" t="s">
        <v>252</v>
      </c>
      <c r="D382" s="16" t="s">
        <v>253</v>
      </c>
      <c r="E382" s="6" t="n">
        <v>1000</v>
      </c>
      <c r="F382" s="7" t="n">
        <v>1</v>
      </c>
      <c r="G382" s="6" t="n">
        <v>19.48</v>
      </c>
      <c r="H382" s="6" t="n">
        <v>3</v>
      </c>
      <c r="I382" s="6" t="n">
        <v>19.48</v>
      </c>
      <c r="J382" s="6" t="n">
        <v>16.48</v>
      </c>
    </row>
    <row collapsed="false" customFormat="false" customHeight="false" hidden="false" ht="12.1" outlineLevel="0" r="383">
      <c r="A383" s="35" t="n">
        <v>45836</v>
      </c>
      <c r="B383" s="16" t="s">
        <v>1375</v>
      </c>
      <c r="C383" s="16" t="s">
        <v>278</v>
      </c>
      <c r="D383" s="16" t="s">
        <v>279</v>
      </c>
      <c r="E383" s="6" t="n">
        <v>1000</v>
      </c>
      <c r="F383" s="7" t="n">
        <v>1</v>
      </c>
      <c r="G383" s="6" t="n">
        <v>18.73</v>
      </c>
      <c r="H383" s="6" t="n">
        <v>2</v>
      </c>
      <c r="I383" s="6" t="n">
        <v>18.73</v>
      </c>
      <c r="J383" s="6" t="n">
        <v>16.73</v>
      </c>
    </row>
    <row collapsed="false" customFormat="false" customHeight="false" hidden="false" ht="12.1" outlineLevel="0" r="384">
      <c r="A384" s="35" t="n">
        <v>45839</v>
      </c>
      <c r="B384" s="16" t="s">
        <v>1375</v>
      </c>
      <c r="C384" s="16" t="s">
        <v>199</v>
      </c>
      <c r="D384" s="16" t="s">
        <v>200</v>
      </c>
      <c r="E384" s="6" t="n">
        <v>1000</v>
      </c>
      <c r="F384" s="7" t="n">
        <v>2</v>
      </c>
      <c r="G384" s="6" t="n">
        <v>18.91</v>
      </c>
      <c r="H384" s="6" t="n">
        <v>5</v>
      </c>
      <c r="I384" s="6" t="n">
        <v>37.82</v>
      </c>
      <c r="J384" s="6" t="n">
        <v>32.82</v>
      </c>
    </row>
    <row collapsed="false" customFormat="false" customHeight="false" hidden="false" ht="12.1" outlineLevel="0" r="385">
      <c r="A385" s="35" t="n">
        <v>45840</v>
      </c>
      <c r="B385" s="16" t="s">
        <v>1375</v>
      </c>
      <c r="C385" s="16" t="s">
        <v>918</v>
      </c>
      <c r="D385" s="16" t="s">
        <v>1381</v>
      </c>
      <c r="E385" s="6" t="n">
        <v>200</v>
      </c>
      <c r="F385" s="7" t="n">
        <v>1</v>
      </c>
      <c r="G385" s="6" t="n">
        <v>6.98</v>
      </c>
      <c r="H385" s="6" t="n">
        <v>1</v>
      </c>
      <c r="I385" s="6" t="n">
        <v>6.98</v>
      </c>
      <c r="J385" s="6" t="n">
        <v>5.98</v>
      </c>
    </row>
    <row collapsed="false" customFormat="false" customHeight="false" hidden="false" ht="12.1" outlineLevel="0" r="386">
      <c r="A386" s="35" t="n">
        <v>45843</v>
      </c>
      <c r="B386" s="16" t="s">
        <v>1375</v>
      </c>
      <c r="C386" s="16" t="s">
        <v>232</v>
      </c>
      <c r="D386" s="16" t="s">
        <v>233</v>
      </c>
      <c r="E386" s="6" t="n">
        <v>1000</v>
      </c>
      <c r="F386" s="7" t="n">
        <v>2</v>
      </c>
      <c r="G386" s="6" t="n">
        <v>1.64</v>
      </c>
      <c r="H386" s="6" t="n">
        <v>0</v>
      </c>
      <c r="I386" s="6" t="n">
        <v>3.28</v>
      </c>
      <c r="J386" s="6" t="n">
        <v>3.28</v>
      </c>
    </row>
    <row collapsed="false" customFormat="false" customHeight="false" hidden="false" ht="12.1" outlineLevel="0" r="387">
      <c r="A387" s="35" t="n">
        <v>45844</v>
      </c>
      <c r="B387" s="16" t="s">
        <v>1375</v>
      </c>
      <c r="C387" s="16" t="s">
        <v>234</v>
      </c>
      <c r="D387" s="16" t="s">
        <v>235</v>
      </c>
      <c r="E387" s="6" t="n">
        <v>1000</v>
      </c>
      <c r="F387" s="7" t="n">
        <v>1</v>
      </c>
      <c r="G387" s="6" t="n">
        <v>19.11</v>
      </c>
      <c r="H387" s="6" t="n">
        <v>2</v>
      </c>
      <c r="I387" s="6" t="n">
        <v>19.11</v>
      </c>
      <c r="J387" s="6" t="n">
        <v>17.11</v>
      </c>
    </row>
    <row collapsed="false" customFormat="false" customHeight="false" hidden="false" ht="12.1" outlineLevel="0" r="388">
      <c r="A388" s="35" t="n">
        <v>45844</v>
      </c>
      <c r="B388" s="16" t="s">
        <v>1375</v>
      </c>
      <c r="C388" s="16" t="s">
        <v>326</v>
      </c>
      <c r="D388" s="16" t="s">
        <v>327</v>
      </c>
      <c r="E388" s="6" t="n">
        <v>1000</v>
      </c>
      <c r="F388" s="7" t="n">
        <v>1</v>
      </c>
      <c r="G388" s="6" t="n">
        <v>44.88</v>
      </c>
      <c r="H388" s="6" t="n">
        <v>6</v>
      </c>
      <c r="I388" s="6" t="n">
        <v>44.88</v>
      </c>
      <c r="J388" s="6" t="n">
        <v>38.88</v>
      </c>
    </row>
    <row collapsed="false" customFormat="false" customHeight="false" hidden="false" ht="12.1" outlineLevel="0" r="389">
      <c r="A389" s="35" t="n">
        <v>45845</v>
      </c>
      <c r="B389" s="16" t="s">
        <v>1375</v>
      </c>
      <c r="C389" s="16" t="s">
        <v>257</v>
      </c>
      <c r="D389" s="16" t="s">
        <v>258</v>
      </c>
      <c r="E389" s="6" t="n">
        <v>1000</v>
      </c>
      <c r="F389" s="7" t="n">
        <v>1</v>
      </c>
      <c r="G389" s="6" t="n">
        <v>18.76</v>
      </c>
      <c r="H389" s="6" t="n">
        <v>2</v>
      </c>
      <c r="I389" s="6" t="n">
        <v>18.76</v>
      </c>
      <c r="J389" s="6" t="n">
        <v>16.76</v>
      </c>
    </row>
    <row collapsed="false" customFormat="false" customHeight="false" hidden="false" ht="12.1" outlineLevel="0" r="390">
      <c r="A390" s="35" t="n">
        <v>45852</v>
      </c>
      <c r="B390" s="16" t="s">
        <v>1375</v>
      </c>
      <c r="C390" s="16" t="s">
        <v>217</v>
      </c>
      <c r="D390" s="16" t="s">
        <v>218</v>
      </c>
      <c r="E390" s="6" t="n">
        <v>1000</v>
      </c>
      <c r="F390" s="7" t="n">
        <v>2</v>
      </c>
      <c r="G390" s="6" t="n">
        <v>24.93</v>
      </c>
      <c r="H390" s="6" t="n">
        <v>6</v>
      </c>
      <c r="I390" s="6" t="n">
        <v>49.86</v>
      </c>
      <c r="J390" s="6" t="n">
        <v>43.86</v>
      </c>
    </row>
    <row collapsed="false" customFormat="false" customHeight="false" hidden="false" ht="12.1" outlineLevel="0" r="391">
      <c r="A391" s="35" t="n">
        <v>45853</v>
      </c>
      <c r="B391" s="16" t="s">
        <v>1375</v>
      </c>
      <c r="C391" s="16" t="s">
        <v>931</v>
      </c>
      <c r="D391" s="16" t="s">
        <v>1390</v>
      </c>
      <c r="E391" s="6" t="n">
        <v>1000</v>
      </c>
      <c r="F391" s="7" t="n">
        <v>2</v>
      </c>
      <c r="G391" s="6" t="n">
        <v>22.44</v>
      </c>
      <c r="H391" s="6" t="n">
        <v>6</v>
      </c>
      <c r="I391" s="6" t="n">
        <v>44.88</v>
      </c>
      <c r="J391" s="6" t="n">
        <v>38.88</v>
      </c>
    </row>
    <row collapsed="false" customFormat="false" customHeight="false" hidden="false" ht="12.1" outlineLevel="0" r="392">
      <c r="A392" s="35" t="n">
        <v>45853</v>
      </c>
      <c r="B392" s="16" t="s">
        <v>1375</v>
      </c>
      <c r="C392" s="16" t="s">
        <v>305</v>
      </c>
      <c r="D392" s="16" t="s">
        <v>306</v>
      </c>
      <c r="E392" s="6" t="n">
        <v>1000</v>
      </c>
      <c r="F392" s="7" t="n">
        <v>1</v>
      </c>
      <c r="G392" s="6" t="n">
        <v>26.18</v>
      </c>
      <c r="H392" s="6" t="n">
        <v>3</v>
      </c>
      <c r="I392" s="6" t="n">
        <v>26.18</v>
      </c>
      <c r="J392" s="6" t="n">
        <v>23.18</v>
      </c>
    </row>
    <row collapsed="false" customFormat="false" customHeight="false" hidden="false" ht="12.1" outlineLevel="0" r="393">
      <c r="A393" s="35" t="n">
        <v>45854</v>
      </c>
      <c r="B393" s="16" t="s">
        <v>1375</v>
      </c>
      <c r="C393" s="16" t="s">
        <v>178</v>
      </c>
      <c r="D393" s="16" t="s">
        <v>179</v>
      </c>
      <c r="E393" s="6" t="n">
        <v>1000</v>
      </c>
      <c r="F393" s="7" t="n">
        <v>2</v>
      </c>
      <c r="G393" s="6" t="n">
        <v>43.13</v>
      </c>
      <c r="H393" s="6" t="n">
        <v>11</v>
      </c>
      <c r="I393" s="6" t="n">
        <v>86.26</v>
      </c>
      <c r="J393" s="6" t="n">
        <v>75.26</v>
      </c>
    </row>
    <row collapsed="false" customFormat="false" customHeight="false" hidden="false" ht="12.1" outlineLevel="0" r="394">
      <c r="A394" s="35" t="n">
        <v>45854</v>
      </c>
      <c r="B394" s="16" t="s">
        <v>1375</v>
      </c>
      <c r="C394" s="16" t="s">
        <v>302</v>
      </c>
      <c r="D394" s="16" t="s">
        <v>303</v>
      </c>
      <c r="E394" s="6" t="n">
        <v>1000</v>
      </c>
      <c r="F394" s="7" t="n">
        <v>1</v>
      </c>
      <c r="G394" s="6" t="n">
        <v>50.86</v>
      </c>
      <c r="H394" s="6" t="n">
        <v>7</v>
      </c>
      <c r="I394" s="6" t="n">
        <v>50.86</v>
      </c>
      <c r="J394" s="6" t="n">
        <v>43.86</v>
      </c>
    </row>
    <row collapsed="false" customFormat="false" customHeight="false" hidden="false" ht="12.1" outlineLevel="0" r="395">
      <c r="A395" s="35" t="n">
        <v>45854</v>
      </c>
      <c r="B395" s="16" t="s">
        <v>1375</v>
      </c>
      <c r="C395" s="16" t="s">
        <v>317</v>
      </c>
      <c r="D395" s="16" t="s">
        <v>318</v>
      </c>
      <c r="E395" s="6" t="n">
        <v>1000</v>
      </c>
      <c r="F395" s="7" t="n">
        <v>1</v>
      </c>
      <c r="G395" s="6" t="n">
        <v>18.68</v>
      </c>
      <c r="H395" s="6" t="n">
        <v>2</v>
      </c>
      <c r="I395" s="6" t="n">
        <v>18.68</v>
      </c>
      <c r="J395" s="6" t="n">
        <v>16.68</v>
      </c>
    </row>
    <row collapsed="false" customFormat="false" customHeight="false" hidden="false" ht="12.1" outlineLevel="0" r="396">
      <c r="A396" s="35" t="n">
        <v>45858</v>
      </c>
      <c r="B396" s="16" t="s">
        <v>1375</v>
      </c>
      <c r="C396" s="16" t="s">
        <v>246</v>
      </c>
      <c r="D396" s="16" t="s">
        <v>247</v>
      </c>
      <c r="E396" s="6" t="n">
        <v>1000</v>
      </c>
      <c r="F396" s="7" t="n">
        <v>1</v>
      </c>
      <c r="G396" s="6" t="n">
        <v>20.96</v>
      </c>
      <c r="H396" s="6" t="n">
        <v>3</v>
      </c>
      <c r="I396" s="6" t="n">
        <v>20.96</v>
      </c>
      <c r="J396" s="6" t="n">
        <v>17.96</v>
      </c>
    </row>
    <row collapsed="false" customFormat="false" customHeight="false" hidden="false" ht="12.1" outlineLevel="0" r="397">
      <c r="A397" s="35" t="n">
        <v>45858</v>
      </c>
      <c r="B397" s="16" t="s">
        <v>1375</v>
      </c>
      <c r="C397" s="16" t="s">
        <v>214</v>
      </c>
      <c r="D397" s="16" t="s">
        <v>215</v>
      </c>
      <c r="E397" s="6" t="n">
        <v>1000</v>
      </c>
      <c r="F397" s="7" t="n">
        <v>2</v>
      </c>
      <c r="G397" s="6" t="n">
        <v>54.35</v>
      </c>
      <c r="H397" s="6" t="n">
        <v>14</v>
      </c>
      <c r="I397" s="6" t="n">
        <v>108.7</v>
      </c>
      <c r="J397" s="6" t="n">
        <v>94.7</v>
      </c>
    </row>
    <row collapsed="false" customFormat="false" customHeight="false" hidden="false" ht="12.1" outlineLevel="0" r="398">
      <c r="A398" s="35" t="n">
        <v>45859</v>
      </c>
      <c r="B398" s="16" t="s">
        <v>1375</v>
      </c>
      <c r="C398" s="16" t="s">
        <v>334</v>
      </c>
      <c r="D398" s="16" t="s">
        <v>335</v>
      </c>
      <c r="E398" s="6" t="n">
        <v>670</v>
      </c>
      <c r="F398" s="7" t="n">
        <v>1</v>
      </c>
      <c r="G398" s="6" t="n">
        <v>22.97</v>
      </c>
      <c r="H398" s="6" t="n">
        <v>3</v>
      </c>
      <c r="I398" s="6" t="n">
        <v>22.97</v>
      </c>
      <c r="J398" s="6" t="n">
        <v>19.97</v>
      </c>
    </row>
    <row collapsed="false" customFormat="false" customHeight="false" hidden="false" ht="12.1" outlineLevel="0" r="399">
      <c r="A399" s="35" t="n">
        <v>45859</v>
      </c>
      <c r="B399" s="16" t="s">
        <v>1375</v>
      </c>
      <c r="C399" s="16" t="s">
        <v>323</v>
      </c>
      <c r="D399" s="16" t="s">
        <v>324</v>
      </c>
      <c r="E399" s="6" t="n">
        <v>1000</v>
      </c>
      <c r="F399" s="7" t="n">
        <v>1</v>
      </c>
      <c r="G399" s="6" t="n">
        <v>11.18</v>
      </c>
      <c r="H399" s="6" t="n">
        <v>1</v>
      </c>
      <c r="I399" s="6" t="n">
        <v>11.18</v>
      </c>
      <c r="J399" s="6" t="n">
        <v>10.18</v>
      </c>
    </row>
    <row collapsed="false" customFormat="false" customHeight="false" hidden="false" ht="12.1" outlineLevel="0" r="400">
      <c r="A400" s="35" t="n">
        <v>45860</v>
      </c>
      <c r="B400" s="16" t="s">
        <v>1375</v>
      </c>
      <c r="C400" s="16" t="s">
        <v>272</v>
      </c>
      <c r="D400" s="16" t="s">
        <v>273</v>
      </c>
      <c r="E400" s="6" t="n">
        <v>1000</v>
      </c>
      <c r="F400" s="7" t="n">
        <v>1</v>
      </c>
      <c r="G400" s="6" t="n">
        <v>54.58</v>
      </c>
      <c r="H400" s="6" t="n">
        <v>7</v>
      </c>
      <c r="I400" s="6" t="n">
        <v>54.58</v>
      </c>
      <c r="J400" s="6" t="n">
        <v>47.58</v>
      </c>
    </row>
    <row collapsed="false" customFormat="false" customHeight="false" hidden="false" ht="12.1" outlineLevel="0" r="401">
      <c r="A401" s="35" t="n">
        <v>45860</v>
      </c>
      <c r="B401" s="16" t="s">
        <v>1375</v>
      </c>
      <c r="C401" s="16" t="s">
        <v>287</v>
      </c>
      <c r="D401" s="16" t="s">
        <v>288</v>
      </c>
      <c r="E401" s="6" t="n">
        <v>1000</v>
      </c>
      <c r="F401" s="7" t="n">
        <v>1</v>
      </c>
      <c r="G401" s="6" t="n">
        <v>43.38</v>
      </c>
      <c r="H401" s="6" t="n">
        <v>6</v>
      </c>
      <c r="I401" s="6" t="n">
        <v>43.38</v>
      </c>
      <c r="J401" s="6" t="n">
        <v>37.38</v>
      </c>
    </row>
    <row collapsed="false" customFormat="false" customHeight="false" hidden="false" ht="12.1" outlineLevel="0" r="402">
      <c r="A402" s="35" t="n">
        <v>45861</v>
      </c>
      <c r="B402" s="16" t="s">
        <v>1375</v>
      </c>
      <c r="C402" s="16" t="s">
        <v>202</v>
      </c>
      <c r="D402" s="16" t="s">
        <v>203</v>
      </c>
      <c r="E402" s="6" t="n">
        <v>1000</v>
      </c>
      <c r="F402" s="7" t="n">
        <v>2</v>
      </c>
      <c r="G402" s="6" t="n">
        <v>17.34</v>
      </c>
      <c r="H402" s="6" t="n">
        <v>5</v>
      </c>
      <c r="I402" s="6" t="n">
        <v>34.68</v>
      </c>
      <c r="J402" s="6" t="n">
        <v>29.68</v>
      </c>
    </row>
    <row collapsed="false" customFormat="false" customHeight="false" hidden="false" ht="12.1" outlineLevel="0" r="403">
      <c r="A403" s="35" t="n">
        <v>45865</v>
      </c>
      <c r="B403" s="16" t="s">
        <v>1375</v>
      </c>
      <c r="C403" s="16" t="s">
        <v>252</v>
      </c>
      <c r="D403" s="16" t="s">
        <v>253</v>
      </c>
      <c r="E403" s="6" t="n">
        <v>1000</v>
      </c>
      <c r="F403" s="7" t="n">
        <v>1</v>
      </c>
      <c r="G403" s="6" t="n">
        <v>19.48</v>
      </c>
      <c r="H403" s="6" t="n">
        <v>3</v>
      </c>
      <c r="I403" s="6" t="n">
        <v>19.48</v>
      </c>
      <c r="J403" s="6" t="n">
        <v>16.48</v>
      </c>
    </row>
    <row collapsed="false" customFormat="false" customHeight="false" hidden="false" ht="12.1" outlineLevel="0" r="404">
      <c r="A404" s="35" t="n">
        <v>45866</v>
      </c>
      <c r="B404" s="16" t="s">
        <v>1375</v>
      </c>
      <c r="C404" s="16" t="s">
        <v>226</v>
      </c>
      <c r="D404" s="16" t="s">
        <v>227</v>
      </c>
      <c r="E404" s="6" t="n">
        <v>1000</v>
      </c>
      <c r="F404" s="7" t="n">
        <v>2</v>
      </c>
      <c r="G404" s="6" t="n">
        <v>29.17</v>
      </c>
      <c r="H404" s="6" t="n">
        <v>8</v>
      </c>
      <c r="I404" s="6" t="n">
        <v>58.34</v>
      </c>
      <c r="J404" s="6" t="n">
        <v>50.34</v>
      </c>
    </row>
    <row collapsed="false" customFormat="false" customHeight="false" hidden="false" ht="12.1" outlineLevel="0" r="405">
      <c r="A405" s="35" t="n">
        <v>45866</v>
      </c>
      <c r="B405" s="16" t="s">
        <v>1375</v>
      </c>
      <c r="C405" s="16" t="s">
        <v>290</v>
      </c>
      <c r="D405" s="16" t="s">
        <v>291</v>
      </c>
      <c r="E405" s="6" t="n">
        <v>1000</v>
      </c>
      <c r="F405" s="7" t="n">
        <v>1</v>
      </c>
      <c r="G405" s="6" t="n">
        <v>28.22</v>
      </c>
      <c r="H405" s="6" t="n">
        <v>4</v>
      </c>
      <c r="I405" s="6" t="n">
        <v>28.22</v>
      </c>
      <c r="J405" s="6" t="n">
        <v>24.22</v>
      </c>
    </row>
    <row collapsed="false" customFormat="false" customHeight="false" hidden="false" ht="12.1" outlineLevel="0" r="406">
      <c r="A406" s="35" t="n">
        <v>45867</v>
      </c>
      <c r="B406" s="16" t="s">
        <v>1375</v>
      </c>
      <c r="C406" s="16" t="s">
        <v>154</v>
      </c>
      <c r="D406" s="16" t="s">
        <v>155</v>
      </c>
      <c r="E406" s="6" t="n">
        <v>1000</v>
      </c>
      <c r="F406" s="7" t="n">
        <v>4</v>
      </c>
      <c r="G406" s="6" t="n">
        <v>34.41</v>
      </c>
      <c r="H406" s="6" t="n">
        <v>18</v>
      </c>
      <c r="I406" s="6" t="n">
        <v>137.64</v>
      </c>
      <c r="J406" s="6" t="n">
        <v>119.64</v>
      </c>
    </row>
    <row collapsed="false" customFormat="false" customHeight="false" hidden="false" ht="12.1" outlineLevel="0" r="407">
      <c r="A407" s="35" t="n">
        <v>45867</v>
      </c>
      <c r="B407" s="16" t="s">
        <v>1375</v>
      </c>
      <c r="C407" s="16" t="s">
        <v>278</v>
      </c>
      <c r="D407" s="16" t="s">
        <v>279</v>
      </c>
      <c r="E407" s="6" t="n">
        <v>1000</v>
      </c>
      <c r="F407" s="7" t="n">
        <v>1</v>
      </c>
      <c r="G407" s="6" t="n">
        <v>18.4</v>
      </c>
      <c r="H407" s="6" t="n">
        <v>2</v>
      </c>
      <c r="I407" s="6" t="n">
        <v>18.4</v>
      </c>
      <c r="J407" s="6" t="n">
        <v>16.4</v>
      </c>
    </row>
    <row collapsed="false" customFormat="false" customHeight="false" hidden="false" ht="12.1" outlineLevel="0" r="408">
      <c r="A408" s="35" t="n">
        <v>45867</v>
      </c>
      <c r="B408" s="16" t="s">
        <v>1375</v>
      </c>
      <c r="C408" s="16" t="s">
        <v>84</v>
      </c>
      <c r="D408" s="16" t="s">
        <v>86</v>
      </c>
      <c r="E408" s="6" t="n">
        <v>1000</v>
      </c>
      <c r="F408" s="7" t="n">
        <v>31</v>
      </c>
      <c r="G408" s="6" t="n">
        <v>30.42</v>
      </c>
      <c r="H408" s="6" t="n">
        <v>123</v>
      </c>
      <c r="I408" s="6" t="n">
        <v>943.02</v>
      </c>
      <c r="J408" s="6" t="n">
        <v>820.02</v>
      </c>
    </row>
    <row collapsed="false" customFormat="false" customHeight="false" hidden="false" ht="12.1" outlineLevel="0" r="409">
      <c r="A409" s="35" t="n">
        <v>45867</v>
      </c>
      <c r="B409" s="16" t="s">
        <v>1375</v>
      </c>
      <c r="C409" s="16" t="s">
        <v>293</v>
      </c>
      <c r="D409" s="16" t="s">
        <v>294</v>
      </c>
      <c r="E409" s="6" t="n">
        <v>1000</v>
      </c>
      <c r="F409" s="7" t="n">
        <v>1</v>
      </c>
      <c r="G409" s="6" t="n">
        <v>50.42</v>
      </c>
      <c r="H409" s="6" t="n">
        <v>7</v>
      </c>
      <c r="I409" s="6" t="n">
        <v>50.42</v>
      </c>
      <c r="J409" s="6" t="n">
        <v>43.42</v>
      </c>
    </row>
    <row collapsed="false" customFormat="false" customHeight="false" hidden="false" ht="12.1" outlineLevel="0" r="410">
      <c r="A410" s="35" t="n">
        <v>45869</v>
      </c>
      <c r="B410" s="16" t="s">
        <v>1375</v>
      </c>
      <c r="C410" s="16" t="s">
        <v>299</v>
      </c>
      <c r="D410" s="16" t="s">
        <v>300</v>
      </c>
      <c r="E410" s="6" t="n">
        <v>1000</v>
      </c>
      <c r="F410" s="7" t="n">
        <v>1</v>
      </c>
      <c r="G410" s="6" t="n">
        <v>23.86</v>
      </c>
      <c r="H410" s="6" t="n">
        <v>3</v>
      </c>
      <c r="I410" s="6" t="n">
        <v>23.86</v>
      </c>
      <c r="J410" s="6" t="n">
        <v>20.86</v>
      </c>
    </row>
    <row collapsed="false" customFormat="false" customHeight="false" hidden="false" ht="12.1" outlineLevel="0" r="411">
      <c r="A411" s="35" t="n">
        <v>45869</v>
      </c>
      <c r="B411" s="16" t="s">
        <v>1375</v>
      </c>
      <c r="C411" s="16" t="s">
        <v>151</v>
      </c>
      <c r="D411" s="16" t="s">
        <v>152</v>
      </c>
      <c r="E411" s="6" t="n">
        <v>1000</v>
      </c>
      <c r="F411" s="7" t="n">
        <v>4</v>
      </c>
      <c r="G411" s="6" t="n">
        <v>59.84</v>
      </c>
      <c r="H411" s="6" t="n">
        <v>31</v>
      </c>
      <c r="I411" s="6" t="n">
        <v>239.36</v>
      </c>
      <c r="J411" s="6" t="n">
        <v>208.36</v>
      </c>
    </row>
    <row collapsed="false" customFormat="false" customHeight="false" hidden="false" ht="12.1" outlineLevel="0" r="412">
      <c r="A412" s="35" t="n">
        <v>45870</v>
      </c>
      <c r="B412" s="16" t="s">
        <v>1375</v>
      </c>
      <c r="C412" s="16" t="s">
        <v>311</v>
      </c>
      <c r="D412" s="16" t="s">
        <v>312</v>
      </c>
      <c r="E412" s="6" t="n">
        <v>1000</v>
      </c>
      <c r="F412" s="7" t="n">
        <v>1</v>
      </c>
      <c r="G412" s="6" t="n">
        <v>53.1</v>
      </c>
      <c r="H412" s="6" t="n">
        <v>7</v>
      </c>
      <c r="I412" s="6" t="n">
        <v>53.1</v>
      </c>
      <c r="J412" s="6" t="n">
        <v>46.1</v>
      </c>
    </row>
    <row collapsed="false" customFormat="false" customHeight="false" hidden="false" ht="12.1" outlineLevel="0" r="413">
      <c r="A413" s="35" t="n">
        <v>45870</v>
      </c>
      <c r="B413" s="16" t="s">
        <v>1375</v>
      </c>
      <c r="C413" s="16" t="s">
        <v>199</v>
      </c>
      <c r="D413" s="16" t="s">
        <v>200</v>
      </c>
      <c r="E413" s="6" t="n">
        <v>1000</v>
      </c>
      <c r="F413" s="7" t="n">
        <v>2</v>
      </c>
      <c r="G413" s="6" t="n">
        <v>18.48</v>
      </c>
      <c r="H413" s="6" t="n">
        <v>5</v>
      </c>
      <c r="I413" s="6" t="n">
        <v>36.96</v>
      </c>
      <c r="J413" s="6" t="n">
        <v>31.96</v>
      </c>
    </row>
    <row collapsed="false" customFormat="false" customHeight="false" hidden="false" ht="12.1" outlineLevel="0" r="414">
      <c r="A414" s="35" t="n">
        <v>45873</v>
      </c>
      <c r="B414" s="16" t="s">
        <v>1375</v>
      </c>
      <c r="C414" s="16" t="s">
        <v>232</v>
      </c>
      <c r="D414" s="16" t="s">
        <v>233</v>
      </c>
      <c r="E414" s="6" t="n">
        <v>1000</v>
      </c>
      <c r="F414" s="7" t="n">
        <v>2</v>
      </c>
      <c r="G414" s="6" t="n">
        <v>1.64</v>
      </c>
      <c r="H414" s="6" t="n">
        <v>0</v>
      </c>
      <c r="I414" s="6" t="n">
        <v>3.28</v>
      </c>
      <c r="J414" s="6" t="n">
        <v>3.28</v>
      </c>
    </row>
    <row collapsed="false" customFormat="false" customHeight="false" hidden="false" ht="12.1" outlineLevel="0" r="415">
      <c r="A415" s="35" t="n">
        <v>45874</v>
      </c>
      <c r="B415" s="16" t="s">
        <v>1375</v>
      </c>
      <c r="C415" s="16" t="s">
        <v>166</v>
      </c>
      <c r="D415" s="16" t="s">
        <v>167</v>
      </c>
      <c r="E415" s="6" t="n">
        <v>1662.59</v>
      </c>
      <c r="F415" s="7" t="n">
        <v>2</v>
      </c>
      <c r="G415" s="6" t="n">
        <v>20.73</v>
      </c>
      <c r="H415" s="6" t="n">
        <v>5</v>
      </c>
      <c r="I415" s="6" t="n">
        <v>41.46</v>
      </c>
      <c r="J415" s="6" t="n">
        <v>36.46</v>
      </c>
    </row>
    <row collapsed="false" customFormat="false" customHeight="false" hidden="false" ht="12.1" outlineLevel="0" r="416">
      <c r="A416" s="35" t="n">
        <v>45874</v>
      </c>
      <c r="B416" s="16" t="s">
        <v>1375</v>
      </c>
      <c r="C416" s="16" t="s">
        <v>234</v>
      </c>
      <c r="D416" s="16" t="s">
        <v>235</v>
      </c>
      <c r="E416" s="6" t="n">
        <v>1000</v>
      </c>
      <c r="F416" s="7" t="n">
        <v>1</v>
      </c>
      <c r="G416" s="6" t="n">
        <v>19.11</v>
      </c>
      <c r="H416" s="6" t="n">
        <v>2</v>
      </c>
      <c r="I416" s="6" t="n">
        <v>19.11</v>
      </c>
      <c r="J416" s="6" t="n">
        <v>17.11</v>
      </c>
    </row>
    <row collapsed="false" customFormat="false" customHeight="false" hidden="false" ht="12.1" outlineLevel="0" r="417">
      <c r="A417" s="35" t="n">
        <v>45876</v>
      </c>
      <c r="B417" s="16" t="s">
        <v>1375</v>
      </c>
      <c r="C417" s="16" t="s">
        <v>257</v>
      </c>
      <c r="D417" s="16" t="s">
        <v>258</v>
      </c>
      <c r="E417" s="6" t="n">
        <v>1000</v>
      </c>
      <c r="F417" s="7" t="n">
        <v>1</v>
      </c>
      <c r="G417" s="6" t="n">
        <v>18.16</v>
      </c>
      <c r="H417" s="6" t="n">
        <v>2</v>
      </c>
      <c r="I417" s="6" t="n">
        <v>18.16</v>
      </c>
      <c r="J417" s="6" t="n">
        <v>16.16</v>
      </c>
    </row>
    <row collapsed="false" customFormat="false" customHeight="false" hidden="false" ht="12.1" outlineLevel="0" r="418">
      <c r="A418" s="35" t="n">
        <v>45881</v>
      </c>
      <c r="B418" s="16" t="s">
        <v>1375</v>
      </c>
      <c r="C418" s="16" t="s">
        <v>112</v>
      </c>
      <c r="D418" s="16" t="s">
        <v>113</v>
      </c>
      <c r="E418" s="6" t="n">
        <v>1000</v>
      </c>
      <c r="F418" s="7" t="n">
        <v>19</v>
      </c>
      <c r="G418" s="6" t="n">
        <v>34.9</v>
      </c>
      <c r="H418" s="6" t="n">
        <v>86</v>
      </c>
      <c r="I418" s="6" t="n">
        <v>663.1</v>
      </c>
      <c r="J418" s="6" t="n">
        <v>577.1</v>
      </c>
    </row>
    <row collapsed="false" customFormat="false" customHeight="false" hidden="false" ht="12.1" outlineLevel="0" r="419">
      <c r="A419" s="35" t="n">
        <v>45881</v>
      </c>
      <c r="B419" s="16" t="s">
        <v>1375</v>
      </c>
      <c r="C419" s="16" t="s">
        <v>935</v>
      </c>
      <c r="D419" s="16" t="s">
        <v>1393</v>
      </c>
      <c r="E419" s="6" t="n">
        <v>300</v>
      </c>
      <c r="F419" s="7" t="n">
        <v>1</v>
      </c>
      <c r="G419" s="6" t="n">
        <v>4.67</v>
      </c>
      <c r="H419" s="6" t="n">
        <v>1</v>
      </c>
      <c r="I419" s="6" t="n">
        <v>4.67</v>
      </c>
      <c r="J419" s="6" t="n">
        <v>3.67</v>
      </c>
    </row>
    <row collapsed="false" customFormat="false" customHeight="false" hidden="false" ht="12.1" outlineLevel="0" r="420">
      <c r="A420" s="35" t="n">
        <v>45883</v>
      </c>
      <c r="B420" s="16" t="s">
        <v>1375</v>
      </c>
      <c r="C420" s="16" t="s">
        <v>160</v>
      </c>
      <c r="D420" s="16" t="s">
        <v>161</v>
      </c>
      <c r="E420" s="6" t="n">
        <v>1000</v>
      </c>
      <c r="F420" s="7" t="n">
        <v>4</v>
      </c>
      <c r="G420" s="6" t="n">
        <v>51.86</v>
      </c>
      <c r="H420" s="6" t="n">
        <v>27</v>
      </c>
      <c r="I420" s="6" t="n">
        <v>207.44</v>
      </c>
      <c r="J420" s="6" t="n">
        <v>180.44</v>
      </c>
    </row>
    <row collapsed="false" customFormat="false" customHeight="false" hidden="false" ht="12.1" outlineLevel="0" r="421">
      <c r="A421" s="35" t="n">
        <v>45883</v>
      </c>
      <c r="B421" s="16" t="s">
        <v>1375</v>
      </c>
      <c r="C421" s="16" t="s">
        <v>925</v>
      </c>
      <c r="D421" s="16" t="s">
        <v>1388</v>
      </c>
      <c r="E421" s="6" t="n">
        <v>1000</v>
      </c>
      <c r="F421" s="7" t="n">
        <v>1</v>
      </c>
      <c r="G421" s="6" t="n">
        <v>51.61</v>
      </c>
      <c r="H421" s="6" t="n">
        <v>7</v>
      </c>
      <c r="I421" s="6" t="n">
        <v>51.61</v>
      </c>
      <c r="J421" s="6" t="n">
        <v>44.61</v>
      </c>
    </row>
    <row collapsed="false" customFormat="false" customHeight="false" hidden="false" ht="12.1" outlineLevel="0" r="422">
      <c r="A422" s="35" t="n">
        <v>45885</v>
      </c>
      <c r="B422" s="16" t="s">
        <v>1375</v>
      </c>
      <c r="C422" s="16" t="s">
        <v>317</v>
      </c>
      <c r="D422" s="16" t="s">
        <v>318</v>
      </c>
      <c r="E422" s="6" t="n">
        <v>1000</v>
      </c>
      <c r="F422" s="7" t="n">
        <v>1</v>
      </c>
      <c r="G422" s="6" t="n">
        <v>17.87</v>
      </c>
      <c r="H422" s="6" t="n">
        <v>2</v>
      </c>
      <c r="I422" s="6" t="n">
        <v>17.87</v>
      </c>
      <c r="J422" s="6" t="n">
        <v>15.87</v>
      </c>
    </row>
    <row collapsed="false" customFormat="false" customHeight="false" hidden="false" ht="12.1" outlineLevel="0" r="423">
      <c r="A423" s="35" t="n">
        <v>45888</v>
      </c>
      <c r="B423" s="16" t="s">
        <v>1375</v>
      </c>
      <c r="C423" s="16" t="s">
        <v>246</v>
      </c>
      <c r="D423" s="16" t="s">
        <v>247</v>
      </c>
      <c r="E423" s="6" t="n">
        <v>1000</v>
      </c>
      <c r="F423" s="7" t="n">
        <v>1</v>
      </c>
      <c r="G423" s="6" t="n">
        <v>20.96</v>
      </c>
      <c r="H423" s="6" t="n">
        <v>3</v>
      </c>
      <c r="I423" s="6" t="n">
        <v>20.96</v>
      </c>
      <c r="J423" s="6" t="n">
        <v>17.96</v>
      </c>
    </row>
    <row collapsed="false" customFormat="false" customHeight="false" hidden="false" ht="12.1" outlineLevel="0" r="424">
      <c r="A424" s="35" t="n">
        <v>45889</v>
      </c>
      <c r="B424" s="16" t="s">
        <v>1375</v>
      </c>
      <c r="C424" s="16" t="s">
        <v>331</v>
      </c>
      <c r="D424" s="16" t="s">
        <v>332</v>
      </c>
      <c r="E424" s="6" t="n">
        <v>375</v>
      </c>
      <c r="F424" s="7" t="n">
        <v>1</v>
      </c>
      <c r="G424" s="6" t="n">
        <v>6.5</v>
      </c>
      <c r="H424" s="6" t="n">
        <v>1</v>
      </c>
      <c r="I424" s="6" t="n">
        <v>6.5</v>
      </c>
      <c r="J424" s="6" t="n">
        <v>5.5</v>
      </c>
    </row>
    <row collapsed="false" customFormat="false" customHeight="false" hidden="false" ht="12.1" outlineLevel="0" r="425">
      <c r="A425" s="35" t="n">
        <v>45889</v>
      </c>
      <c r="B425" s="16" t="s">
        <v>1375</v>
      </c>
      <c r="C425" s="16" t="s">
        <v>323</v>
      </c>
      <c r="D425" s="16" t="s">
        <v>324</v>
      </c>
      <c r="E425" s="6" t="n">
        <v>1000</v>
      </c>
      <c r="F425" s="7" t="n">
        <v>1</v>
      </c>
      <c r="G425" s="6" t="n">
        <v>11.18</v>
      </c>
      <c r="H425" s="6" t="n">
        <v>1</v>
      </c>
      <c r="I425" s="6" t="n">
        <v>11.18</v>
      </c>
      <c r="J425" s="6" t="n">
        <v>10.18</v>
      </c>
    </row>
    <row collapsed="false" customFormat="false" customHeight="false" hidden="false" ht="12.1" outlineLevel="0" r="426">
      <c r="A426" s="35" t="n">
        <v>45890</v>
      </c>
      <c r="B426" s="16" t="s">
        <v>1375</v>
      </c>
      <c r="C426" s="16" t="s">
        <v>175</v>
      </c>
      <c r="D426" s="16" t="s">
        <v>176</v>
      </c>
      <c r="E426" s="6" t="n">
        <v>1000</v>
      </c>
      <c r="F426" s="7" t="n">
        <v>3</v>
      </c>
      <c r="G426" s="6" t="n">
        <v>44.88</v>
      </c>
      <c r="H426" s="6" t="n">
        <v>18</v>
      </c>
      <c r="I426" s="6" t="n">
        <v>134.64</v>
      </c>
      <c r="J426" s="6" t="n">
        <v>116.64</v>
      </c>
    </row>
    <row collapsed="false" customFormat="false" customHeight="false" hidden="false" ht="12.1" outlineLevel="0" r="427">
      <c r="A427" s="35" t="n">
        <v>45891</v>
      </c>
      <c r="B427" s="16" t="s">
        <v>1375</v>
      </c>
      <c r="C427" s="16" t="s">
        <v>202</v>
      </c>
      <c r="D427" s="16" t="s">
        <v>203</v>
      </c>
      <c r="E427" s="6" t="n">
        <v>1000</v>
      </c>
      <c r="F427" s="7" t="n">
        <v>2</v>
      </c>
      <c r="G427" s="6" t="n">
        <v>17.34</v>
      </c>
      <c r="H427" s="6" t="n">
        <v>5</v>
      </c>
      <c r="I427" s="6" t="n">
        <v>34.68</v>
      </c>
      <c r="J427" s="6" t="n">
        <v>29.68</v>
      </c>
    </row>
    <row collapsed="false" customFormat="false" customHeight="false" hidden="false" ht="12.1" outlineLevel="0" r="428">
      <c r="A428" s="35" t="n">
        <v>45894</v>
      </c>
      <c r="B428" s="16" t="s">
        <v>1375</v>
      </c>
      <c r="C428" s="16" t="s">
        <v>172</v>
      </c>
      <c r="D428" s="16" t="s">
        <v>173</v>
      </c>
      <c r="E428" s="6" t="n">
        <v>1000</v>
      </c>
      <c r="F428" s="7" t="n">
        <v>3</v>
      </c>
      <c r="G428" s="6" t="n">
        <v>24.93</v>
      </c>
      <c r="H428" s="6" t="n">
        <v>10</v>
      </c>
      <c r="I428" s="6" t="n">
        <v>74.79</v>
      </c>
      <c r="J428" s="6" t="n">
        <v>64.79</v>
      </c>
    </row>
    <row collapsed="false" customFormat="false" customHeight="false" hidden="false" ht="12.1" outlineLevel="0" r="429">
      <c r="A429" s="35" t="n">
        <v>45895</v>
      </c>
      <c r="B429" s="16" t="s">
        <v>1375</v>
      </c>
      <c r="C429" s="16" t="s">
        <v>252</v>
      </c>
      <c r="D429" s="16" t="s">
        <v>253</v>
      </c>
      <c r="E429" s="6" t="n">
        <v>1000</v>
      </c>
      <c r="F429" s="7" t="n">
        <v>1</v>
      </c>
      <c r="G429" s="6" t="n">
        <v>19.48</v>
      </c>
      <c r="H429" s="6" t="n">
        <v>3</v>
      </c>
      <c r="I429" s="6" t="n">
        <v>19.48</v>
      </c>
      <c r="J429" s="6" t="n">
        <v>16.48</v>
      </c>
    </row>
    <row collapsed="false" customFormat="false" customHeight="false" hidden="false" ht="12.1" outlineLevel="0" r="430">
      <c r="A430" s="35" t="n">
        <v>45897</v>
      </c>
      <c r="B430" s="16" t="s">
        <v>1375</v>
      </c>
      <c r="C430" s="16" t="s">
        <v>260</v>
      </c>
      <c r="D430" s="16" t="s">
        <v>261</v>
      </c>
      <c r="E430" s="6" t="n">
        <v>1000</v>
      </c>
      <c r="F430" s="7" t="n">
        <v>1</v>
      </c>
      <c r="G430" s="6" t="n">
        <v>24.81</v>
      </c>
      <c r="H430" s="6" t="n">
        <v>3</v>
      </c>
      <c r="I430" s="6" t="n">
        <v>24.81</v>
      </c>
      <c r="J430" s="6" t="n">
        <v>21.81</v>
      </c>
    </row>
    <row collapsed="false" customFormat="false" customHeight="false" hidden="false" ht="12.1" outlineLevel="0" r="431">
      <c r="A431" s="35" t="n">
        <v>45898</v>
      </c>
      <c r="B431" s="16" t="s">
        <v>1375</v>
      </c>
      <c r="C431" s="16" t="s">
        <v>278</v>
      </c>
      <c r="D431" s="16" t="s">
        <v>279</v>
      </c>
      <c r="E431" s="6" t="n">
        <v>1000</v>
      </c>
      <c r="F431" s="7" t="n">
        <v>1</v>
      </c>
      <c r="G431" s="6" t="n">
        <v>17.73</v>
      </c>
      <c r="H431" s="6" t="n">
        <v>2</v>
      </c>
      <c r="I431" s="6" t="n">
        <v>17.73</v>
      </c>
      <c r="J431" s="6" t="n">
        <v>15.73</v>
      </c>
    </row>
    <row collapsed="false" customFormat="false" customHeight="false" hidden="false" ht="12.1" outlineLevel="0" r="432">
      <c r="A432" s="35" t="n">
        <v>45900</v>
      </c>
      <c r="B432" s="16" t="s">
        <v>1375</v>
      </c>
      <c r="C432" s="16" t="s">
        <v>196</v>
      </c>
      <c r="D432" s="16" t="s">
        <v>197</v>
      </c>
      <c r="E432" s="6" t="n">
        <v>1000</v>
      </c>
      <c r="F432" s="7" t="n">
        <v>2</v>
      </c>
      <c r="G432" s="6" t="n">
        <v>19.95</v>
      </c>
      <c r="H432" s="6" t="n">
        <v>5</v>
      </c>
      <c r="I432" s="6" t="n">
        <v>39.9</v>
      </c>
      <c r="J432" s="6" t="n">
        <v>34.9</v>
      </c>
    </row>
    <row collapsed="false" customFormat="false" customHeight="false" hidden="false" ht="12.1" outlineLevel="0" r="433">
      <c r="A433" s="35" t="n">
        <v>45900</v>
      </c>
      <c r="B433" s="16" t="s">
        <v>1375</v>
      </c>
      <c r="C433" s="16" t="s">
        <v>314</v>
      </c>
      <c r="D433" s="16" t="s">
        <v>315</v>
      </c>
      <c r="E433" s="6" t="n">
        <v>1000</v>
      </c>
      <c r="F433" s="7" t="n">
        <v>1</v>
      </c>
      <c r="G433" s="6" t="n">
        <v>25.68</v>
      </c>
      <c r="H433" s="6" t="n">
        <v>3</v>
      </c>
      <c r="I433" s="6" t="n">
        <v>25.68</v>
      </c>
      <c r="J433" s="6" t="n">
        <v>22.68</v>
      </c>
    </row>
    <row collapsed="false" customFormat="false" customHeight="false" hidden="false" ht="12.1" outlineLevel="0" r="434">
      <c r="A434" s="35" t="n">
        <v>45901</v>
      </c>
      <c r="B434" s="16" t="s">
        <v>1375</v>
      </c>
      <c r="C434" s="16" t="s">
        <v>199</v>
      </c>
      <c r="D434" s="16" t="s">
        <v>200</v>
      </c>
      <c r="E434" s="6" t="n">
        <v>1000</v>
      </c>
      <c r="F434" s="7" t="n">
        <v>2</v>
      </c>
      <c r="G434" s="6" t="n">
        <v>17.85</v>
      </c>
      <c r="H434" s="6" t="n">
        <v>5</v>
      </c>
      <c r="I434" s="6" t="n">
        <v>35.7</v>
      </c>
      <c r="J434" s="6" t="n">
        <v>30.7</v>
      </c>
    </row>
    <row collapsed="false" customFormat="false" customHeight="false" hidden="false" ht="12.1" outlineLevel="0" r="435">
      <c r="A435" s="35" t="n">
        <v>45901</v>
      </c>
      <c r="B435" s="16" t="s">
        <v>1375</v>
      </c>
      <c r="C435" s="16" t="s">
        <v>266</v>
      </c>
      <c r="D435" s="16" t="s">
        <v>267</v>
      </c>
      <c r="E435" s="6" t="n">
        <v>1000</v>
      </c>
      <c r="F435" s="7" t="n">
        <v>1</v>
      </c>
      <c r="G435" s="6" t="n">
        <v>29.17</v>
      </c>
      <c r="H435" s="6" t="n">
        <v>4</v>
      </c>
      <c r="I435" s="6" t="n">
        <v>29.17</v>
      </c>
      <c r="J435" s="6" t="n">
        <v>25.17</v>
      </c>
    </row>
    <row collapsed="false" customFormat="false" customHeight="false" hidden="false" ht="12.1" outlineLevel="0" r="436">
      <c r="A436" s="35" t="n">
        <v>45902</v>
      </c>
      <c r="B436" s="16" t="s">
        <v>1375</v>
      </c>
      <c r="C436" s="16" t="s">
        <v>163</v>
      </c>
      <c r="D436" s="16" t="s">
        <v>164</v>
      </c>
      <c r="E436" s="6" t="n">
        <v>1000</v>
      </c>
      <c r="F436" s="7" t="n">
        <v>4</v>
      </c>
      <c r="G436" s="6" t="n">
        <v>44.88</v>
      </c>
      <c r="H436" s="6" t="n">
        <v>23</v>
      </c>
      <c r="I436" s="6" t="n">
        <v>179.52</v>
      </c>
      <c r="J436" s="6" t="n">
        <v>156.52</v>
      </c>
    </row>
    <row collapsed="false" customFormat="false" customHeight="false" hidden="false" ht="12.1" outlineLevel="0" r="437">
      <c r="A437" s="35" t="n">
        <v>45902</v>
      </c>
      <c r="B437" s="16" t="s">
        <v>1375</v>
      </c>
      <c r="C437" s="16" t="s">
        <v>320</v>
      </c>
      <c r="D437" s="16" t="s">
        <v>321</v>
      </c>
      <c r="E437" s="6" t="n">
        <v>1000</v>
      </c>
      <c r="F437" s="7" t="n">
        <v>1</v>
      </c>
      <c r="G437" s="6" t="n">
        <v>19.55</v>
      </c>
      <c r="H437" s="6" t="n">
        <v>3</v>
      </c>
      <c r="I437" s="6" t="n">
        <v>19.55</v>
      </c>
      <c r="J437" s="6" t="n">
        <v>16.55</v>
      </c>
    </row>
    <row collapsed="false" customFormat="false" customHeight="false" hidden="false" ht="12.1" outlineLevel="0" r="438">
      <c r="A438" s="35" t="n">
        <v>45902</v>
      </c>
      <c r="B438" s="16" t="s">
        <v>1375</v>
      </c>
      <c r="C438" s="16" t="s">
        <v>329</v>
      </c>
      <c r="D438" s="16" t="s">
        <v>330</v>
      </c>
      <c r="E438" s="6" t="n">
        <v>1000</v>
      </c>
      <c r="F438" s="7" t="n">
        <v>1</v>
      </c>
      <c r="G438" s="6" t="n">
        <v>19.87</v>
      </c>
      <c r="H438" s="6" t="n">
        <v>3</v>
      </c>
      <c r="I438" s="6" t="n">
        <v>19.87</v>
      </c>
      <c r="J438" s="6" t="n">
        <v>16.87</v>
      </c>
    </row>
    <row collapsed="false" customFormat="false" customHeight="false" hidden="false" ht="12.1" outlineLevel="0" r="439">
      <c r="A439" s="35" t="n">
        <v>45902</v>
      </c>
      <c r="B439" s="16" t="s">
        <v>1375</v>
      </c>
      <c r="C439" s="16" t="s">
        <v>240</v>
      </c>
      <c r="D439" s="16" t="s">
        <v>241</v>
      </c>
      <c r="E439" s="6" t="n">
        <v>1000</v>
      </c>
      <c r="F439" s="7" t="n">
        <v>1</v>
      </c>
      <c r="G439" s="6" t="n">
        <v>106.71</v>
      </c>
      <c r="H439" s="6" t="n">
        <v>14</v>
      </c>
      <c r="I439" s="6" t="n">
        <v>106.71</v>
      </c>
      <c r="J439" s="6" t="n">
        <v>92.71</v>
      </c>
    </row>
    <row collapsed="false" customFormat="false" customHeight="false" hidden="false" ht="12.1" outlineLevel="0" r="440">
      <c r="A440" s="35" t="n">
        <v>45903</v>
      </c>
      <c r="B440" s="16" t="s">
        <v>1375</v>
      </c>
      <c r="C440" s="16" t="s">
        <v>232</v>
      </c>
      <c r="D440" s="16" t="s">
        <v>233</v>
      </c>
      <c r="E440" s="6" t="n">
        <v>1000</v>
      </c>
      <c r="F440" s="7" t="n">
        <v>2</v>
      </c>
      <c r="G440" s="6" t="n">
        <v>1.64</v>
      </c>
      <c r="H440" s="6" t="n">
        <v>0</v>
      </c>
      <c r="I440" s="6" t="n">
        <v>3.28</v>
      </c>
      <c r="J440" s="6" t="n">
        <v>3.28</v>
      </c>
    </row>
    <row collapsed="false" customFormat="false" customHeight="false" hidden="false" ht="12.1" outlineLevel="0" r="441">
      <c r="A441" s="35" t="n">
        <v>45903</v>
      </c>
      <c r="B441" s="16" t="s">
        <v>1375</v>
      </c>
      <c r="C441" s="16" t="s">
        <v>281</v>
      </c>
      <c r="D441" s="16" t="s">
        <v>282</v>
      </c>
      <c r="E441" s="6" t="n">
        <v>1000</v>
      </c>
      <c r="F441" s="7" t="n">
        <v>1</v>
      </c>
      <c r="G441" s="6" t="n">
        <v>35.53</v>
      </c>
      <c r="H441" s="6" t="n">
        <v>5</v>
      </c>
      <c r="I441" s="6" t="n">
        <v>35.53</v>
      </c>
      <c r="J441" s="6" t="n">
        <v>30.53</v>
      </c>
    </row>
    <row collapsed="false" customFormat="false" customHeight="false" hidden="false" ht="12.1" outlineLevel="0" r="442">
      <c r="A442" s="35" t="n">
        <v>45904</v>
      </c>
      <c r="B442" s="16" t="s">
        <v>1375</v>
      </c>
      <c r="C442" s="16" t="s">
        <v>234</v>
      </c>
      <c r="D442" s="16" t="s">
        <v>235</v>
      </c>
      <c r="E442" s="6" t="n">
        <v>1000</v>
      </c>
      <c r="F442" s="7" t="n">
        <v>1</v>
      </c>
      <c r="G442" s="6" t="n">
        <v>19.11</v>
      </c>
      <c r="H442" s="6" t="n">
        <v>2</v>
      </c>
      <c r="I442" s="6" t="n">
        <v>19.11</v>
      </c>
      <c r="J442" s="6" t="n">
        <v>17.11</v>
      </c>
    </row>
    <row collapsed="false" customFormat="false" customHeight="false" hidden="false" ht="12.1" outlineLevel="0" r="443">
      <c r="A443" s="35" t="n">
        <v>45907</v>
      </c>
      <c r="B443" s="16" t="s">
        <v>1375</v>
      </c>
      <c r="C443" s="16" t="s">
        <v>257</v>
      </c>
      <c r="D443" s="16" t="s">
        <v>258</v>
      </c>
      <c r="E443" s="6" t="n">
        <v>1000</v>
      </c>
      <c r="F443" s="7" t="n">
        <v>1</v>
      </c>
      <c r="G443" s="6" t="n">
        <v>17.45</v>
      </c>
      <c r="H443" s="6" t="n">
        <v>2</v>
      </c>
      <c r="I443" s="6" t="n">
        <v>17.45</v>
      </c>
      <c r="J443" s="6" t="n">
        <v>15.45</v>
      </c>
    </row>
    <row collapsed="false" customFormat="false" customHeight="false" hidden="false" ht="12.1" outlineLevel="0" r="444">
      <c r="A444" s="35" t="n">
        <v>45911</v>
      </c>
      <c r="B444" s="16" t="s">
        <v>1375</v>
      </c>
      <c r="C444" s="16" t="s">
        <v>229</v>
      </c>
      <c r="D444" s="16" t="s">
        <v>230</v>
      </c>
      <c r="E444" s="6" t="n">
        <v>1000</v>
      </c>
      <c r="F444" s="7" t="n">
        <v>2</v>
      </c>
      <c r="G444" s="6" t="n">
        <v>17.83</v>
      </c>
      <c r="H444" s="6" t="n">
        <v>5</v>
      </c>
      <c r="I444" s="6" t="n">
        <v>35.66</v>
      </c>
      <c r="J444" s="6" t="n">
        <v>30.66</v>
      </c>
    </row>
    <row collapsed="false" customFormat="false" customHeight="false" hidden="false" ht="12.1" outlineLevel="0" r="445">
      <c r="A445" s="35" t="n">
        <v>45915</v>
      </c>
      <c r="B445" s="16" t="s">
        <v>1375</v>
      </c>
      <c r="C445" s="16" t="s">
        <v>275</v>
      </c>
      <c r="D445" s="16" t="s">
        <v>276</v>
      </c>
      <c r="E445" s="6" t="n">
        <v>1000</v>
      </c>
      <c r="F445" s="7" t="n">
        <v>1</v>
      </c>
      <c r="G445" s="6" t="n">
        <v>39.39</v>
      </c>
      <c r="H445" s="6" t="n">
        <v>5</v>
      </c>
      <c r="I445" s="6" t="n">
        <v>39.39</v>
      </c>
      <c r="J445" s="6" t="n">
        <v>34.39</v>
      </c>
    </row>
    <row collapsed="false" customFormat="false" customHeight="false" hidden="false" ht="12.1" outlineLevel="0" r="446">
      <c r="A446" s="35" t="n">
        <v>45916</v>
      </c>
      <c r="B446" s="16" t="s">
        <v>1375</v>
      </c>
      <c r="C446" s="16" t="s">
        <v>103</v>
      </c>
      <c r="D446" s="16" t="s">
        <v>104</v>
      </c>
      <c r="E446" s="6" t="n">
        <v>1000</v>
      </c>
      <c r="F446" s="7" t="n">
        <v>14</v>
      </c>
      <c r="G446" s="6" t="n">
        <v>29.42</v>
      </c>
      <c r="H446" s="6" t="n">
        <v>54</v>
      </c>
      <c r="I446" s="6" t="n">
        <v>411.88</v>
      </c>
      <c r="J446" s="6" t="n">
        <v>357.88</v>
      </c>
    </row>
    <row collapsed="false" customFormat="false" customHeight="false" hidden="false" ht="12.1" outlineLevel="0" r="447">
      <c r="A447" s="35" t="n">
        <v>45916</v>
      </c>
      <c r="B447" s="16" t="s">
        <v>1375</v>
      </c>
      <c r="C447" s="16" t="s">
        <v>317</v>
      </c>
      <c r="D447" s="16" t="s">
        <v>318</v>
      </c>
      <c r="E447" s="6" t="n">
        <v>1000</v>
      </c>
      <c r="F447" s="7" t="n">
        <v>1</v>
      </c>
      <c r="G447" s="6" t="n">
        <v>16.86</v>
      </c>
      <c r="H447" s="6" t="n">
        <v>2</v>
      </c>
      <c r="I447" s="6" t="n">
        <v>16.86</v>
      </c>
      <c r="J447" s="6" t="n">
        <v>14.86</v>
      </c>
    </row>
    <row collapsed="false" customFormat="false" customHeight="false" hidden="false" ht="12.1" outlineLevel="0" r="448">
      <c r="A448" s="35" t="n">
        <v>45918</v>
      </c>
      <c r="B448" s="16" t="s">
        <v>1375</v>
      </c>
      <c r="C448" s="16" t="s">
        <v>246</v>
      </c>
      <c r="D448" s="16" t="s">
        <v>247</v>
      </c>
      <c r="E448" s="6" t="n">
        <v>1000</v>
      </c>
      <c r="F448" s="7" t="n">
        <v>1</v>
      </c>
      <c r="G448" s="6" t="n">
        <v>20.96</v>
      </c>
      <c r="H448" s="6" t="n">
        <v>3</v>
      </c>
      <c r="I448" s="6" t="n">
        <v>20.96</v>
      </c>
      <c r="J448" s="6" t="n">
        <v>17.96</v>
      </c>
    </row>
    <row collapsed="false" customFormat="false" customHeight="false" hidden="false" ht="12.1" outlineLevel="0" r="449">
      <c r="A449" s="35" t="n">
        <v>45919</v>
      </c>
      <c r="B449" s="16" t="s">
        <v>1375</v>
      </c>
      <c r="C449" s="16" t="s">
        <v>323</v>
      </c>
      <c r="D449" s="16" t="s">
        <v>324</v>
      </c>
      <c r="E449" s="6" t="n">
        <v>1000</v>
      </c>
      <c r="F449" s="7" t="n">
        <v>1</v>
      </c>
      <c r="G449" s="6" t="n">
        <v>11.18</v>
      </c>
      <c r="H449" s="6" t="n">
        <v>1</v>
      </c>
      <c r="I449" s="6" t="n">
        <v>11.18</v>
      </c>
      <c r="J449" s="6" t="n">
        <v>10.18</v>
      </c>
    </row>
    <row collapsed="false" customFormat="false" customHeight="false" hidden="false" ht="12.1" outlineLevel="0" r="450">
      <c r="A450" s="35" t="n">
        <v>45921</v>
      </c>
      <c r="B450" s="16" t="s">
        <v>1375</v>
      </c>
      <c r="C450" s="16" t="s">
        <v>202</v>
      </c>
      <c r="D450" s="16" t="s">
        <v>203</v>
      </c>
      <c r="E450" s="6" t="n">
        <v>1000</v>
      </c>
      <c r="F450" s="7" t="n">
        <v>2</v>
      </c>
      <c r="G450" s="6" t="n">
        <v>15.7</v>
      </c>
      <c r="H450" s="6" t="n">
        <v>4</v>
      </c>
      <c r="I450" s="6" t="n">
        <v>31.4</v>
      </c>
      <c r="J450" s="6" t="n">
        <v>27.4</v>
      </c>
    </row>
    <row collapsed="false" customFormat="false" customHeight="false" hidden="false" ht="12.1" outlineLevel="0" r="451">
      <c r="A451" s="35" t="n">
        <v>45921</v>
      </c>
      <c r="B451" s="16" t="s">
        <v>1375</v>
      </c>
      <c r="C451" s="16" t="s">
        <v>220</v>
      </c>
      <c r="D451" s="16" t="s">
        <v>221</v>
      </c>
      <c r="E451" s="6" t="n">
        <v>1000</v>
      </c>
      <c r="F451" s="7" t="n">
        <v>2</v>
      </c>
      <c r="G451" s="6" t="n">
        <v>45.38</v>
      </c>
      <c r="H451" s="6" t="n">
        <v>12</v>
      </c>
      <c r="I451" s="6" t="n">
        <v>90.76</v>
      </c>
      <c r="J451" s="6" t="n">
        <v>78.76</v>
      </c>
    </row>
    <row collapsed="false" customFormat="false" customHeight="false" hidden="false" ht="12.1" outlineLevel="0" r="452">
      <c r="A452" s="35" t="n">
        <v>45923</v>
      </c>
      <c r="B452" s="16" t="s">
        <v>1375</v>
      </c>
      <c r="C452" s="16" t="s">
        <v>130</v>
      </c>
      <c r="D452" s="16" t="s">
        <v>131</v>
      </c>
      <c r="E452" s="6" t="n">
        <v>1000</v>
      </c>
      <c r="F452" s="7" t="n">
        <v>9</v>
      </c>
      <c r="G452" s="6" t="n">
        <v>56.1</v>
      </c>
      <c r="H452" s="6" t="n">
        <v>66</v>
      </c>
      <c r="I452" s="6" t="n">
        <v>504.9</v>
      </c>
      <c r="J452" s="6" t="n">
        <v>438.9</v>
      </c>
    </row>
    <row collapsed="false" customFormat="false" customHeight="false" hidden="false" ht="12.1" outlineLevel="0" r="453">
      <c r="A453" s="35" t="n">
        <v>45923</v>
      </c>
      <c r="B453" s="16" t="s">
        <v>1375</v>
      </c>
      <c r="C453" s="16" t="s">
        <v>97</v>
      </c>
      <c r="D453" s="16" t="s">
        <v>98</v>
      </c>
      <c r="E453" s="6" t="n">
        <v>1000</v>
      </c>
      <c r="F453" s="7" t="n">
        <v>9</v>
      </c>
      <c r="G453" s="6" t="n">
        <v>59.84</v>
      </c>
      <c r="H453" s="6" t="n">
        <v>70</v>
      </c>
      <c r="I453" s="6" t="n">
        <v>538.56</v>
      </c>
      <c r="J453" s="6" t="n">
        <v>468.56</v>
      </c>
    </row>
    <row collapsed="false" customFormat="false" customHeight="false" hidden="false" ht="12.1" outlineLevel="0" r="454">
      <c r="A454" s="35" t="n">
        <v>45923</v>
      </c>
      <c r="B454" s="16" t="s">
        <v>1375</v>
      </c>
      <c r="C454" s="16" t="s">
        <v>133</v>
      </c>
      <c r="D454" s="16" t="s">
        <v>134</v>
      </c>
      <c r="E454" s="6" t="n">
        <v>1000</v>
      </c>
      <c r="F454" s="7" t="n">
        <v>10</v>
      </c>
      <c r="G454" s="6" t="n">
        <v>42.38</v>
      </c>
      <c r="H454" s="6" t="n">
        <v>55</v>
      </c>
      <c r="I454" s="6" t="n">
        <v>423.8</v>
      </c>
      <c r="J454" s="6" t="n">
        <v>368.8</v>
      </c>
    </row>
    <row collapsed="false" customFormat="false" customHeight="false" hidden="false" ht="12.1" outlineLevel="0" r="455">
      <c r="A455" s="35" t="n">
        <v>45923</v>
      </c>
      <c r="B455" s="16" t="s">
        <v>1375</v>
      </c>
      <c r="C455" s="16" t="s">
        <v>157</v>
      </c>
      <c r="D455" s="16" t="s">
        <v>158</v>
      </c>
      <c r="E455" s="6" t="n">
        <v>1428.44</v>
      </c>
      <c r="F455" s="7" t="n">
        <v>4</v>
      </c>
      <c r="G455" s="6" t="n">
        <v>17.81</v>
      </c>
      <c r="H455" s="6" t="n">
        <v>9</v>
      </c>
      <c r="I455" s="6" t="n">
        <v>71.24</v>
      </c>
      <c r="J455" s="6" t="n">
        <v>62.24</v>
      </c>
    </row>
    <row collapsed="false" customFormat="false" customHeight="false" hidden="false" ht="12.1" outlineLevel="0" r="456">
      <c r="A456" s="35" t="n">
        <v>45925</v>
      </c>
      <c r="B456" s="16" t="s">
        <v>1375</v>
      </c>
      <c r="C456" s="16" t="s">
        <v>269</v>
      </c>
      <c r="D456" s="16" t="s">
        <v>270</v>
      </c>
      <c r="E456" s="6" t="n">
        <v>1000</v>
      </c>
      <c r="F456" s="7" t="n">
        <v>1</v>
      </c>
      <c r="G456" s="6" t="n">
        <v>52.36</v>
      </c>
      <c r="H456" s="6" t="n">
        <v>7</v>
      </c>
      <c r="I456" s="6" t="n">
        <v>52.36</v>
      </c>
      <c r="J456" s="6" t="n">
        <v>45.36</v>
      </c>
    </row>
    <row collapsed="false" customFormat="false" customHeight="false" hidden="false" ht="12.1" outlineLevel="0" r="457">
      <c r="A457" s="35" t="n">
        <v>45925</v>
      </c>
      <c r="B457" s="16" t="s">
        <v>1375</v>
      </c>
      <c r="C457" s="16" t="s">
        <v>252</v>
      </c>
      <c r="D457" s="16" t="s">
        <v>253</v>
      </c>
      <c r="E457" s="6" t="n">
        <v>1000</v>
      </c>
      <c r="F457" s="7" t="n">
        <v>1</v>
      </c>
      <c r="G457" s="6" t="n">
        <v>19.48</v>
      </c>
      <c r="H457" s="6" t="n">
        <v>3</v>
      </c>
      <c r="I457" s="6" t="n">
        <v>19.48</v>
      </c>
      <c r="J457" s="6" t="n">
        <v>16.48</v>
      </c>
    </row>
    <row collapsed="false" customFormat="false" customHeight="false" hidden="false" ht="12.1" outlineLevel="0" r="458">
      <c r="A458" s="35" t="n">
        <v>45929</v>
      </c>
      <c r="B458" s="16" t="s">
        <v>1375</v>
      </c>
      <c r="C458" s="16" t="s">
        <v>278</v>
      </c>
      <c r="D458" s="16" t="s">
        <v>279</v>
      </c>
      <c r="E458" s="6" t="n">
        <v>1000</v>
      </c>
      <c r="F458" s="7" t="n">
        <v>1</v>
      </c>
      <c r="G458" s="6" t="n">
        <v>16.42</v>
      </c>
      <c r="H458" s="6" t="n">
        <v>2</v>
      </c>
      <c r="I458" s="6" t="n">
        <v>16.42</v>
      </c>
      <c r="J458" s="6" t="n">
        <v>14.42</v>
      </c>
    </row>
    <row collapsed="false" customFormat="false" customHeight="false" hidden="false" ht="12.1" outlineLevel="0" r="459">
      <c r="A459" s="35" t="n">
        <v>45930</v>
      </c>
      <c r="B459" s="16" t="s">
        <v>1375</v>
      </c>
      <c r="C459" s="16" t="s">
        <v>106</v>
      </c>
      <c r="D459" s="16" t="s">
        <v>107</v>
      </c>
      <c r="E459" s="6" t="n">
        <v>1000</v>
      </c>
      <c r="F459" s="7" t="n">
        <v>17</v>
      </c>
      <c r="G459" s="6" t="n">
        <v>38.39</v>
      </c>
      <c r="H459" s="6" t="n">
        <v>85</v>
      </c>
      <c r="I459" s="6" t="n">
        <v>652.63</v>
      </c>
      <c r="J459" s="6" t="n">
        <v>567.63</v>
      </c>
    </row>
    <row collapsed="false" customFormat="false" customHeight="false" hidden="false" ht="12.1" outlineLevel="0" r="460">
      <c r="A460" s="35" t="n">
        <v>45930</v>
      </c>
      <c r="B460" s="16" t="s">
        <v>1375</v>
      </c>
      <c r="C460" s="16" t="s">
        <v>127</v>
      </c>
      <c r="D460" s="16" t="s">
        <v>128</v>
      </c>
      <c r="E460" s="6" t="n">
        <v>1000</v>
      </c>
      <c r="F460" s="7" t="n">
        <v>12</v>
      </c>
      <c r="G460" s="6" t="n">
        <v>38.39</v>
      </c>
      <c r="H460" s="6" t="n">
        <v>60</v>
      </c>
      <c r="I460" s="6" t="n">
        <v>460.68</v>
      </c>
      <c r="J460" s="6" t="n">
        <v>400.68</v>
      </c>
    </row>
    <row collapsed="false" customFormat="false" customHeight="false" hidden="false" ht="12.1" outlineLevel="0" r="461">
      <c r="A461" s="35" t="n">
        <v>45932</v>
      </c>
      <c r="B461" s="16" t="s">
        <v>1375</v>
      </c>
      <c r="C461" s="16" t="s">
        <v>199</v>
      </c>
      <c r="D461" s="16" t="s">
        <v>200</v>
      </c>
      <c r="E461" s="6" t="n">
        <v>1000</v>
      </c>
      <c r="F461" s="7" t="n">
        <v>2</v>
      </c>
      <c r="G461" s="6" t="n">
        <v>16.48</v>
      </c>
      <c r="H461" s="6" t="n">
        <v>4</v>
      </c>
      <c r="I461" s="6" t="n">
        <v>32.96</v>
      </c>
      <c r="J461" s="6" t="n">
        <v>28.96</v>
      </c>
    </row>
    <row collapsed="false" customFormat="false" customHeight="false" hidden="false" ht="12.1" outlineLevel="0" r="462">
      <c r="A462" s="35" t="n">
        <v>45933</v>
      </c>
      <c r="B462" s="16" t="s">
        <v>1375</v>
      </c>
      <c r="C462" s="16" t="s">
        <v>232</v>
      </c>
      <c r="D462" s="16" t="s">
        <v>233</v>
      </c>
      <c r="E462" s="6" t="n">
        <v>1000</v>
      </c>
      <c r="F462" s="7" t="n">
        <v>2</v>
      </c>
      <c r="G462" s="6" t="n">
        <v>1.64</v>
      </c>
      <c r="H462" s="6" t="n">
        <v>0</v>
      </c>
      <c r="I462" s="6" t="n">
        <v>3.28</v>
      </c>
      <c r="J462" s="6" t="n">
        <v>3.28</v>
      </c>
    </row>
    <row collapsed="false" customFormat="false" customHeight="false" hidden="false" ht="12.1" outlineLevel="0" r="463">
      <c r="A463" s="35" t="n">
        <v>45934</v>
      </c>
      <c r="B463" s="16" t="s">
        <v>1375</v>
      </c>
      <c r="C463" s="16" t="s">
        <v>234</v>
      </c>
      <c r="D463" s="16" t="s">
        <v>235</v>
      </c>
      <c r="E463" s="6" t="n">
        <v>1000</v>
      </c>
      <c r="F463" s="7" t="n">
        <v>1</v>
      </c>
      <c r="G463" s="6" t="n">
        <v>19.11</v>
      </c>
      <c r="H463" s="6" t="n">
        <v>2</v>
      </c>
      <c r="I463" s="6" t="n">
        <v>19.11</v>
      </c>
      <c r="J463" s="6" t="n">
        <v>17.11</v>
      </c>
    </row>
    <row collapsed="false" customFormat="false" customHeight="false" hidden="false" ht="12.1" outlineLevel="0" r="464">
      <c r="A464" s="35" t="n">
        <v>45937</v>
      </c>
      <c r="B464" s="16" t="s">
        <v>1375</v>
      </c>
      <c r="C464" s="16" t="s">
        <v>142</v>
      </c>
      <c r="D464" s="16" t="s">
        <v>143</v>
      </c>
      <c r="E464" s="6" t="n">
        <v>1000</v>
      </c>
      <c r="F464" s="7" t="n">
        <v>5</v>
      </c>
      <c r="G464" s="6" t="n">
        <v>110.05</v>
      </c>
      <c r="H464" s="6" t="n">
        <v>72</v>
      </c>
      <c r="I464" s="6" t="n">
        <v>550.25</v>
      </c>
      <c r="J464" s="6" t="n">
        <v>478.25</v>
      </c>
    </row>
    <row collapsed="false" customFormat="false" customHeight="false" hidden="false" ht="12.1" outlineLevel="0" r="465">
      <c r="A465" s="35" t="n">
        <v>45937</v>
      </c>
      <c r="B465" s="16" t="s">
        <v>1375</v>
      </c>
      <c r="C465" s="16" t="s">
        <v>121</v>
      </c>
      <c r="D465" s="16" t="s">
        <v>122</v>
      </c>
      <c r="E465" s="6" t="n">
        <v>1000</v>
      </c>
      <c r="F465" s="7" t="n">
        <v>10</v>
      </c>
      <c r="G465" s="6" t="n">
        <v>59.84</v>
      </c>
      <c r="H465" s="6" t="n">
        <v>78</v>
      </c>
      <c r="I465" s="6" t="n">
        <v>598.4</v>
      </c>
      <c r="J465" s="6" t="n">
        <v>520.4</v>
      </c>
    </row>
    <row collapsed="false" customFormat="false" customHeight="false" hidden="false" ht="12.1" outlineLevel="0" r="466">
      <c r="A466" s="35" t="n">
        <v>45938</v>
      </c>
      <c r="B466" s="16" t="s">
        <v>1375</v>
      </c>
      <c r="C466" s="16" t="s">
        <v>257</v>
      </c>
      <c r="D466" s="16" t="s">
        <v>258</v>
      </c>
      <c r="E466" s="6" t="n">
        <v>1000</v>
      </c>
      <c r="F466" s="7" t="n">
        <v>1</v>
      </c>
      <c r="G466" s="6" t="n">
        <v>16.18</v>
      </c>
      <c r="H466" s="6" t="n">
        <v>2</v>
      </c>
      <c r="I466" s="6" t="n">
        <v>16.18</v>
      </c>
      <c r="J466" s="6" t="n">
        <v>14.18</v>
      </c>
    </row>
    <row collapsed="false" customFormat="false" customHeight="false" hidden="false" ht="12.1" outlineLevel="0" r="467">
      <c r="A467" s="35" t="n">
        <v>45943</v>
      </c>
      <c r="B467" s="16" t="s">
        <v>1375</v>
      </c>
      <c r="C467" s="16" t="s">
        <v>217</v>
      </c>
      <c r="D467" s="16" t="s">
        <v>218</v>
      </c>
      <c r="E467" s="6" t="n">
        <v>1000</v>
      </c>
      <c r="F467" s="7" t="n">
        <v>2</v>
      </c>
      <c r="G467" s="6" t="n">
        <v>24.93</v>
      </c>
      <c r="H467" s="6" t="n">
        <v>6</v>
      </c>
      <c r="I467" s="6" t="n">
        <v>49.86</v>
      </c>
      <c r="J467" s="6" t="n">
        <v>43.86</v>
      </c>
    </row>
    <row collapsed="false" customFormat="false" customHeight="false" hidden="false" ht="12.1" outlineLevel="0" r="468">
      <c r="A468" s="35" t="n">
        <v>45944</v>
      </c>
      <c r="B468" s="16" t="s">
        <v>1375</v>
      </c>
      <c r="C468" s="16" t="s">
        <v>305</v>
      </c>
      <c r="D468" s="16" t="s">
        <v>306</v>
      </c>
      <c r="E468" s="6" t="n">
        <v>1000</v>
      </c>
      <c r="F468" s="7" t="n">
        <v>1</v>
      </c>
      <c r="G468" s="6" t="n">
        <v>26.18</v>
      </c>
      <c r="H468" s="6" t="n">
        <v>3</v>
      </c>
      <c r="I468" s="6" t="n">
        <v>26.18</v>
      </c>
      <c r="J468" s="6" t="n">
        <v>23.18</v>
      </c>
    </row>
    <row collapsed="false" customFormat="false" customHeight="false" hidden="false" ht="12.1" outlineLevel="0" r="469">
      <c r="A469" s="35" t="n">
        <v>45944</v>
      </c>
      <c r="B469" s="16" t="s">
        <v>1375</v>
      </c>
      <c r="C469" s="16" t="s">
        <v>237</v>
      </c>
      <c r="D469" s="16" t="s">
        <v>238</v>
      </c>
      <c r="E469" s="6" t="n">
        <v>1000</v>
      </c>
      <c r="F469" s="7" t="n">
        <v>1</v>
      </c>
      <c r="G469" s="6" t="n">
        <v>97.23</v>
      </c>
      <c r="H469" s="6" t="n">
        <v>13</v>
      </c>
      <c r="I469" s="6" t="n">
        <v>97.23</v>
      </c>
      <c r="J469" s="6" t="n">
        <v>84.23</v>
      </c>
    </row>
    <row collapsed="false" customFormat="false" customHeight="false" hidden="false" ht="12.1" outlineLevel="0" r="470">
      <c r="A470" s="35" t="n">
        <v>45944</v>
      </c>
      <c r="B470" s="16" t="s">
        <v>1375</v>
      </c>
      <c r="C470" s="16" t="s">
        <v>124</v>
      </c>
      <c r="D470" s="16" t="s">
        <v>125</v>
      </c>
      <c r="E470" s="6" t="n">
        <v>1000</v>
      </c>
      <c r="F470" s="7" t="n">
        <v>13</v>
      </c>
      <c r="G470" s="6" t="n">
        <v>38.15</v>
      </c>
      <c r="H470" s="6" t="n">
        <v>64</v>
      </c>
      <c r="I470" s="6" t="n">
        <v>495.95</v>
      </c>
      <c r="J470" s="6" t="n">
        <v>431.95</v>
      </c>
    </row>
    <row collapsed="false" customFormat="false" customHeight="false" hidden="false" ht="12.1" outlineLevel="0" r="471">
      <c r="A471" s="35" t="n">
        <v>45945</v>
      </c>
      <c r="B471" s="16" t="s">
        <v>1375</v>
      </c>
      <c r="C471" s="16" t="s">
        <v>178</v>
      </c>
      <c r="D471" s="16" t="s">
        <v>179</v>
      </c>
      <c r="E471" s="6" t="n">
        <v>1000</v>
      </c>
      <c r="F471" s="7" t="n">
        <v>2</v>
      </c>
      <c r="G471" s="6" t="n">
        <v>43.13</v>
      </c>
      <c r="H471" s="6" t="n">
        <v>11</v>
      </c>
      <c r="I471" s="6" t="n">
        <v>86.26</v>
      </c>
      <c r="J471" s="6" t="n">
        <v>75.26</v>
      </c>
    </row>
    <row collapsed="false" customFormat="false" customHeight="false" hidden="false" ht="12.1" outlineLevel="0" r="472">
      <c r="A472" s="35" t="n">
        <v>45947</v>
      </c>
      <c r="B472" s="16" t="s">
        <v>1375</v>
      </c>
      <c r="C472" s="16" t="s">
        <v>317</v>
      </c>
      <c r="D472" s="16" t="s">
        <v>318</v>
      </c>
      <c r="E472" s="6" t="n">
        <v>1000</v>
      </c>
      <c r="F472" s="7" t="n">
        <v>1</v>
      </c>
      <c r="G472" s="6" t="n">
        <v>16.05</v>
      </c>
      <c r="H472" s="6" t="n">
        <v>2</v>
      </c>
      <c r="I472" s="6" t="n">
        <v>16.05</v>
      </c>
      <c r="J472" s="6" t="n">
        <v>14.05</v>
      </c>
    </row>
    <row collapsed="false" customFormat="false" customHeight="false" hidden="false" ht="12.1" outlineLevel="0" r="473">
      <c r="A473" s="35" t="n">
        <v>45948</v>
      </c>
      <c r="B473" s="16" t="s">
        <v>1375</v>
      </c>
      <c r="C473" s="16" t="s">
        <v>246</v>
      </c>
      <c r="D473" s="16" t="s">
        <v>247</v>
      </c>
      <c r="E473" s="6" t="n">
        <v>1000</v>
      </c>
      <c r="F473" s="7" t="n">
        <v>1</v>
      </c>
      <c r="G473" s="6" t="n">
        <v>20.96</v>
      </c>
      <c r="H473" s="6" t="n">
        <v>3</v>
      </c>
      <c r="I473" s="6" t="n">
        <v>20.96</v>
      </c>
      <c r="J473" s="6" t="n">
        <v>17.96</v>
      </c>
    </row>
    <row collapsed="false" customFormat="false" customHeight="false" hidden="false" ht="12.1" outlineLevel="0" r="474">
      <c r="A474" s="35" t="n">
        <v>45949</v>
      </c>
      <c r="B474" s="16" t="s">
        <v>1375</v>
      </c>
      <c r="C474" s="16" t="s">
        <v>323</v>
      </c>
      <c r="D474" s="16" t="s">
        <v>324</v>
      </c>
      <c r="E474" s="6" t="n">
        <v>1000</v>
      </c>
      <c r="F474" s="7" t="n">
        <v>1</v>
      </c>
      <c r="G474" s="6" t="n">
        <v>11.18</v>
      </c>
      <c r="H474" s="6" t="n">
        <v>1</v>
      </c>
      <c r="I474" s="6" t="n">
        <v>11.18</v>
      </c>
      <c r="J474" s="6" t="n">
        <v>10.18</v>
      </c>
    </row>
    <row collapsed="false" customFormat="false" customHeight="false" hidden="false" ht="12.1" outlineLevel="0" r="475">
      <c r="A475" s="35" t="n">
        <v>45950</v>
      </c>
      <c r="B475" s="16" t="s">
        <v>1375</v>
      </c>
      <c r="C475" s="16" t="s">
        <v>334</v>
      </c>
      <c r="D475" s="16" t="s">
        <v>335</v>
      </c>
      <c r="E475" s="6" t="n">
        <v>505</v>
      </c>
      <c r="F475" s="7" t="n">
        <v>1</v>
      </c>
      <c r="G475" s="6" t="n">
        <v>17.31</v>
      </c>
      <c r="H475" s="6" t="n">
        <v>2</v>
      </c>
      <c r="I475" s="6" t="n">
        <v>17.31</v>
      </c>
      <c r="J475" s="6" t="n">
        <v>15.31</v>
      </c>
    </row>
    <row collapsed="false" customFormat="false" customHeight="false" hidden="false" ht="12.1" outlineLevel="0" r="476">
      <c r="A476" s="35" t="n">
        <v>45951</v>
      </c>
      <c r="B476" s="16" t="s">
        <v>1375</v>
      </c>
      <c r="C476" s="16" t="s">
        <v>202</v>
      </c>
      <c r="D476" s="16" t="s">
        <v>203</v>
      </c>
      <c r="E476" s="6" t="n">
        <v>1000</v>
      </c>
      <c r="F476" s="7" t="n">
        <v>2</v>
      </c>
      <c r="G476" s="6" t="n">
        <v>14.88</v>
      </c>
      <c r="H476" s="6" t="n">
        <v>4</v>
      </c>
      <c r="I476" s="6" t="n">
        <v>29.76</v>
      </c>
      <c r="J476" s="6" t="n">
        <v>25.76</v>
      </c>
    </row>
    <row collapsed="false" customFormat="false" customHeight="false" hidden="false" ht="12.1" outlineLevel="0" r="477">
      <c r="A477" s="35" t="n">
        <v>45951</v>
      </c>
      <c r="B477" s="16" t="s">
        <v>1375</v>
      </c>
      <c r="C477" s="16" t="s">
        <v>272</v>
      </c>
      <c r="D477" s="16" t="s">
        <v>273</v>
      </c>
      <c r="E477" s="6" t="n">
        <v>1000</v>
      </c>
      <c r="F477" s="7" t="n">
        <v>1</v>
      </c>
      <c r="G477" s="6" t="n">
        <v>47.7</v>
      </c>
      <c r="H477" s="6" t="n">
        <v>6</v>
      </c>
      <c r="I477" s="6" t="n">
        <v>47.7</v>
      </c>
      <c r="J477" s="6" t="n">
        <v>41.7</v>
      </c>
    </row>
    <row collapsed="false" customFormat="false" customHeight="false" hidden="false" ht="12.1" outlineLevel="0" r="478">
      <c r="A478" s="35" t="n">
        <v>45955</v>
      </c>
      <c r="B478" s="16" t="s">
        <v>1375</v>
      </c>
      <c r="C478" s="16" t="s">
        <v>252</v>
      </c>
      <c r="D478" s="16" t="s">
        <v>253</v>
      </c>
      <c r="E478" s="6" t="n">
        <v>1000</v>
      </c>
      <c r="F478" s="7" t="n">
        <v>1</v>
      </c>
      <c r="G478" s="6" t="n">
        <v>19.48</v>
      </c>
      <c r="H478" s="6" t="n">
        <v>3</v>
      </c>
      <c r="I478" s="6" t="n">
        <v>19.48</v>
      </c>
      <c r="J478" s="6" t="n">
        <v>16.48</v>
      </c>
    </row>
    <row collapsed="false" customFormat="false" customHeight="false" hidden="false" ht="12.1" outlineLevel="0" r="479">
      <c r="A479" s="35" t="n">
        <v>45957</v>
      </c>
      <c r="B479" s="16" t="s">
        <v>1375</v>
      </c>
      <c r="C479" s="16" t="s">
        <v>226</v>
      </c>
      <c r="D479" s="16" t="s">
        <v>227</v>
      </c>
      <c r="E479" s="6" t="n">
        <v>1000</v>
      </c>
      <c r="F479" s="7" t="n">
        <v>2</v>
      </c>
      <c r="G479" s="6" t="n">
        <v>29.17</v>
      </c>
      <c r="H479" s="6" t="n">
        <v>8</v>
      </c>
      <c r="I479" s="6" t="n">
        <v>58.34</v>
      </c>
      <c r="J479" s="6" t="n">
        <v>50.34</v>
      </c>
    </row>
    <row collapsed="false" customFormat="false" customHeight="false" hidden="false" ht="12.1" outlineLevel="0" r="480">
      <c r="A480" s="35" t="n">
        <v>45957</v>
      </c>
      <c r="B480" s="16" t="s">
        <v>1375</v>
      </c>
      <c r="C480" s="16" t="s">
        <v>290</v>
      </c>
      <c r="D480" s="16" t="s">
        <v>291</v>
      </c>
      <c r="E480" s="6" t="n">
        <v>1000</v>
      </c>
      <c r="F480" s="7" t="n">
        <v>1</v>
      </c>
      <c r="G480" s="6" t="n">
        <v>28.22</v>
      </c>
      <c r="H480" s="6" t="n">
        <v>4</v>
      </c>
      <c r="I480" s="6" t="n">
        <v>28.22</v>
      </c>
      <c r="J480" s="6" t="n">
        <v>24.22</v>
      </c>
    </row>
    <row collapsed="false" customFormat="false" customHeight="false" hidden="false" ht="12.1" outlineLevel="0" r="481">
      <c r="A481" s="35" t="n">
        <v>45958</v>
      </c>
      <c r="B481" s="16" t="s">
        <v>1375</v>
      </c>
      <c r="C481" s="16" t="s">
        <v>293</v>
      </c>
      <c r="D481" s="16" t="s">
        <v>294</v>
      </c>
      <c r="E481" s="6" t="n">
        <v>1000</v>
      </c>
      <c r="F481" s="7" t="n">
        <v>1</v>
      </c>
      <c r="G481" s="6" t="n">
        <v>43.31</v>
      </c>
      <c r="H481" s="6" t="n">
        <v>6</v>
      </c>
      <c r="I481" s="6" t="n">
        <v>43.31</v>
      </c>
      <c r="J481" s="6" t="n">
        <v>37.31</v>
      </c>
    </row>
    <row collapsed="false" customFormat="false" customHeight="false" hidden="false" ht="12.1" outlineLevel="0" r="482">
      <c r="A482" s="35" t="n">
        <v>45960</v>
      </c>
      <c r="B482" s="16" t="s">
        <v>1375</v>
      </c>
      <c r="C482" s="16" t="s">
        <v>278</v>
      </c>
      <c r="D482" s="16" t="s">
        <v>279</v>
      </c>
      <c r="E482" s="6" t="n">
        <v>1000</v>
      </c>
      <c r="F482" s="7" t="n">
        <v>1</v>
      </c>
      <c r="G482" s="6" t="n">
        <v>15.87</v>
      </c>
      <c r="H482" s="6" t="n">
        <v>2</v>
      </c>
      <c r="I482" s="6" t="n">
        <v>15.87</v>
      </c>
      <c r="J482" s="6" t="n">
        <v>13.87</v>
      </c>
    </row>
    <row collapsed="false" customFormat="false" customHeight="false" hidden="false" ht="12.1" outlineLevel="0" r="483">
      <c r="A483" s="35" t="n">
        <v>45960</v>
      </c>
      <c r="B483" s="16" t="s">
        <v>1375</v>
      </c>
      <c r="C483" s="16" t="s">
        <v>299</v>
      </c>
      <c r="D483" s="16" t="s">
        <v>300</v>
      </c>
      <c r="E483" s="6" t="n">
        <v>1000</v>
      </c>
      <c r="F483" s="7" t="n">
        <v>1</v>
      </c>
      <c r="G483" s="6" t="n">
        <v>23.86</v>
      </c>
      <c r="H483" s="6" t="n">
        <v>3</v>
      </c>
      <c r="I483" s="6" t="n">
        <v>23.86</v>
      </c>
      <c r="J483" s="6" t="n">
        <v>20.86</v>
      </c>
    </row>
    <row collapsed="false" customFormat="false" customHeight="false" hidden="false" ht="12.1" outlineLevel="0" r="484">
      <c r="A484" s="35" t="n">
        <v>45960</v>
      </c>
      <c r="B484" s="16" t="s">
        <v>1375</v>
      </c>
      <c r="C484" s="16" t="s">
        <v>284</v>
      </c>
      <c r="D484" s="16" t="s">
        <v>285</v>
      </c>
      <c r="E484" s="6" t="n">
        <v>1000</v>
      </c>
      <c r="F484" s="7" t="n">
        <v>1</v>
      </c>
      <c r="G484" s="6" t="n">
        <v>59.19</v>
      </c>
      <c r="H484" s="6" t="n">
        <v>8</v>
      </c>
      <c r="I484" s="6" t="n">
        <v>59.19</v>
      </c>
      <c r="J484" s="6" t="n">
        <v>51.19</v>
      </c>
    </row>
    <row collapsed="false" customFormat="false" customHeight="false" hidden="false" ht="12.1" outlineLevel="0" r="485">
      <c r="A485" s="35" t="n">
        <v>45963</v>
      </c>
      <c r="B485" s="16" t="s">
        <v>1375</v>
      </c>
      <c r="C485" s="16" t="s">
        <v>232</v>
      </c>
      <c r="D485" s="16" t="s">
        <v>233</v>
      </c>
      <c r="E485" s="6" t="n">
        <v>1000</v>
      </c>
      <c r="F485" s="7" t="n">
        <v>2</v>
      </c>
      <c r="G485" s="6" t="n">
        <v>1.64</v>
      </c>
      <c r="H485" s="6" t="n">
        <v>0</v>
      </c>
      <c r="I485" s="6" t="n">
        <v>3.28</v>
      </c>
      <c r="J485" s="6" t="n">
        <v>3.28</v>
      </c>
    </row>
    <row collapsed="false" customFormat="false" customHeight="false" hidden="false" ht="12.1" outlineLevel="0" r="486">
      <c r="A486" s="35" t="n">
        <v>45963</v>
      </c>
      <c r="B486" s="16" t="s">
        <v>1375</v>
      </c>
      <c r="C486" s="16" t="s">
        <v>199</v>
      </c>
      <c r="D486" s="16" t="s">
        <v>200</v>
      </c>
      <c r="E486" s="6" t="n">
        <v>1000</v>
      </c>
      <c r="F486" s="7" t="n">
        <v>2</v>
      </c>
      <c r="G486" s="6" t="n">
        <v>15.98</v>
      </c>
      <c r="H486" s="6" t="n">
        <v>4</v>
      </c>
      <c r="I486" s="6" t="n">
        <v>31.96</v>
      </c>
      <c r="J486" s="6" t="n">
        <v>27.96</v>
      </c>
    </row>
    <row collapsed="false" customFormat="false" customHeight="false" hidden="false" ht="12.1" outlineLevel="0" r="487">
      <c r="A487" s="35" t="n">
        <v>45964</v>
      </c>
      <c r="B487" s="16" t="s">
        <v>1375</v>
      </c>
      <c r="C487" s="16" t="s">
        <v>234</v>
      </c>
      <c r="D487" s="16" t="s">
        <v>235</v>
      </c>
      <c r="E487" s="6" t="n">
        <v>1000</v>
      </c>
      <c r="F487" s="7" t="n">
        <v>1</v>
      </c>
      <c r="G487" s="6" t="n">
        <v>19.11</v>
      </c>
      <c r="H487" s="6" t="n">
        <v>2</v>
      </c>
      <c r="I487" s="6" t="n">
        <v>19.11</v>
      </c>
      <c r="J487" s="6" t="n">
        <v>17.11</v>
      </c>
    </row>
    <row collapsed="false" customFormat="false" customHeight="false" hidden="false" ht="12.1" outlineLevel="0" r="488">
      <c r="A488" s="35" t="n">
        <v>45967</v>
      </c>
      <c r="B488" s="16" t="s">
        <v>1375</v>
      </c>
      <c r="C488" s="16" t="s">
        <v>223</v>
      </c>
      <c r="D488" s="16" t="s">
        <v>224</v>
      </c>
      <c r="E488" s="6" t="n">
        <v>1000</v>
      </c>
      <c r="F488" s="7" t="n">
        <v>2</v>
      </c>
      <c r="G488" s="6" t="n">
        <v>45.38</v>
      </c>
      <c r="H488" s="6" t="n">
        <v>12</v>
      </c>
      <c r="I488" s="6" t="n">
        <v>90.76</v>
      </c>
      <c r="J488" s="6" t="n">
        <v>78.76</v>
      </c>
    </row>
    <row collapsed="false" customFormat="false" customHeight="false" hidden="false" ht="12.1" outlineLevel="0" r="489">
      <c r="A489" s="35" t="n">
        <v>45969</v>
      </c>
      <c r="B489" s="16" t="s">
        <v>1375</v>
      </c>
      <c r="C489" s="16" t="s">
        <v>257</v>
      </c>
      <c r="D489" s="16" t="s">
        <v>258</v>
      </c>
      <c r="E489" s="6" t="n">
        <v>1000</v>
      </c>
      <c r="F489" s="7" t="n">
        <v>1</v>
      </c>
      <c r="G489" s="6" t="n">
        <v>15.67</v>
      </c>
      <c r="H489" s="6" t="n">
        <v>2</v>
      </c>
      <c r="I489" s="6" t="n">
        <v>15.67</v>
      </c>
      <c r="J489" s="6" t="n">
        <v>13.67</v>
      </c>
    </row>
    <row collapsed="false" customFormat="false" customHeight="false" hidden="false" ht="12.1" outlineLevel="0" r="490">
      <c r="A490" s="35" t="n">
        <v>45972</v>
      </c>
      <c r="B490" s="16" t="s">
        <v>1375</v>
      </c>
      <c r="C490" s="16" t="s">
        <v>109</v>
      </c>
      <c r="D490" s="16" t="s">
        <v>110</v>
      </c>
      <c r="E490" s="6" t="n">
        <v>1000</v>
      </c>
      <c r="F490" s="7" t="n">
        <v>11</v>
      </c>
      <c r="G490" s="6" t="n">
        <v>112.04</v>
      </c>
      <c r="H490" s="6" t="n">
        <v>160</v>
      </c>
      <c r="I490" s="6" t="n">
        <v>1232.44</v>
      </c>
      <c r="J490" s="6" t="n">
        <v>1072.44</v>
      </c>
    </row>
    <row collapsed="false" customFormat="false" customHeight="false" hidden="false" ht="12.1" outlineLevel="0" r="491">
      <c r="A491" s="35" t="n">
        <v>45972</v>
      </c>
      <c r="B491" s="16" t="s">
        <v>1375</v>
      </c>
      <c r="C491" s="16" t="s">
        <v>935</v>
      </c>
      <c r="D491" s="16" t="s">
        <v>1393</v>
      </c>
      <c r="E491" s="6" t="n">
        <v>300</v>
      </c>
      <c r="F491" s="7" t="n">
        <v>1</v>
      </c>
      <c r="G491" s="6" t="n">
        <v>4.67</v>
      </c>
      <c r="H491" s="6" t="n">
        <v>1</v>
      </c>
      <c r="I491" s="6" t="n">
        <v>4.67</v>
      </c>
      <c r="J491" s="6" t="n">
        <v>3.67</v>
      </c>
    </row>
    <row collapsed="false" customFormat="false" customHeight="false" hidden="false" ht="12.1" outlineLevel="0" r="492">
      <c r="A492" s="35" t="n">
        <v>45978</v>
      </c>
      <c r="B492" s="16" t="s">
        <v>1375</v>
      </c>
      <c r="C492" s="16" t="s">
        <v>317</v>
      </c>
      <c r="D492" s="16" t="s">
        <v>318</v>
      </c>
      <c r="E492" s="6" t="n">
        <v>1000</v>
      </c>
      <c r="F492" s="7" t="n">
        <v>1</v>
      </c>
      <c r="G492" s="6" t="n">
        <v>15.35</v>
      </c>
      <c r="H492" s="6" t="n">
        <v>2</v>
      </c>
      <c r="I492" s="6" t="n">
        <v>15.35</v>
      </c>
      <c r="J492" s="6" t="n">
        <v>13.35</v>
      </c>
    </row>
    <row collapsed="false" customFormat="false" customHeight="false" hidden="false" ht="12.1" outlineLevel="0" r="493">
      <c r="A493" s="35" t="n">
        <v>45978</v>
      </c>
      <c r="B493" s="16" t="s">
        <v>1375</v>
      </c>
      <c r="C493" s="16" t="s">
        <v>246</v>
      </c>
      <c r="D493" s="16" t="s">
        <v>247</v>
      </c>
      <c r="E493" s="6" t="n">
        <v>1000</v>
      </c>
      <c r="F493" s="7" t="n">
        <v>1</v>
      </c>
      <c r="G493" s="6" t="n">
        <v>20.96</v>
      </c>
      <c r="H493" s="6" t="n">
        <v>3</v>
      </c>
      <c r="I493" s="6" t="n">
        <v>20.96</v>
      </c>
      <c r="J493" s="6" t="n">
        <v>17.96</v>
      </c>
    </row>
    <row collapsed="false" customFormat="false" customHeight="false" hidden="false" ht="12.1" outlineLevel="0" r="494">
      <c r="A494" s="35" t="n">
        <v>45979</v>
      </c>
      <c r="B494" s="16" t="s">
        <v>1375</v>
      </c>
      <c r="C494" s="16" t="s">
        <v>136</v>
      </c>
      <c r="D494" s="16" t="s">
        <v>137</v>
      </c>
      <c r="E494" s="6" t="n">
        <v>1000</v>
      </c>
      <c r="F494" s="7" t="n">
        <v>14</v>
      </c>
      <c r="G494" s="6" t="n">
        <v>36.15</v>
      </c>
      <c r="H494" s="6" t="n">
        <v>66</v>
      </c>
      <c r="I494" s="6" t="n">
        <v>506.1</v>
      </c>
      <c r="J494" s="6" t="n">
        <v>440.1</v>
      </c>
    </row>
    <row collapsed="false" customFormat="false" customHeight="false" hidden="false" ht="12.1" outlineLevel="0" r="495">
      <c r="A495" s="35" t="n">
        <v>45979</v>
      </c>
      <c r="B495" s="16" t="s">
        <v>1375</v>
      </c>
      <c r="C495" s="16" t="s">
        <v>139</v>
      </c>
      <c r="D495" s="16" t="s">
        <v>140</v>
      </c>
      <c r="E495" s="6" t="n">
        <v>1229.99</v>
      </c>
      <c r="F495" s="7" t="n">
        <v>6</v>
      </c>
      <c r="G495" s="6" t="n">
        <v>15.33</v>
      </c>
      <c r="H495" s="6" t="n">
        <v>12</v>
      </c>
      <c r="I495" s="6" t="n">
        <v>91.98</v>
      </c>
      <c r="J495" s="6" t="n">
        <v>79.98</v>
      </c>
    </row>
    <row collapsed="false" customFormat="false" customHeight="false" hidden="false" ht="12.1" outlineLevel="0" r="496">
      <c r="A496" s="35" t="n">
        <v>45979</v>
      </c>
      <c r="B496" s="16" t="s">
        <v>1375</v>
      </c>
      <c r="C496" s="16" t="s">
        <v>323</v>
      </c>
      <c r="D496" s="16" t="s">
        <v>324</v>
      </c>
      <c r="E496" s="6" t="n">
        <v>1000</v>
      </c>
      <c r="F496" s="7" t="n">
        <v>1</v>
      </c>
      <c r="G496" s="6" t="n">
        <v>11.18</v>
      </c>
      <c r="H496" s="6" t="n">
        <v>1</v>
      </c>
      <c r="I496" s="6" t="n">
        <v>11.18</v>
      </c>
      <c r="J496" s="6" t="n">
        <v>10.18</v>
      </c>
    </row>
    <row collapsed="false" customFormat="false" customHeight="false" hidden="false" ht="12.1" outlineLevel="0" r="497">
      <c r="A497" s="35" t="n">
        <v>45980</v>
      </c>
      <c r="B497" s="16" t="s">
        <v>1375</v>
      </c>
      <c r="C497" s="16" t="s">
        <v>331</v>
      </c>
      <c r="D497" s="16" t="s">
        <v>332</v>
      </c>
      <c r="E497" s="6" t="n">
        <v>375</v>
      </c>
      <c r="F497" s="7" t="n">
        <v>1</v>
      </c>
      <c r="G497" s="6" t="n">
        <v>6.5</v>
      </c>
      <c r="H497" s="6" t="n">
        <v>1</v>
      </c>
      <c r="I497" s="6" t="n">
        <v>6.5</v>
      </c>
      <c r="J497" s="6" t="n">
        <v>5.5</v>
      </c>
    </row>
    <row collapsed="false" customFormat="false" customHeight="false" hidden="false" ht="12.1" outlineLevel="0" r="498">
      <c r="A498" s="35" t="n">
        <v>45981</v>
      </c>
      <c r="B498" s="16" t="s">
        <v>1375</v>
      </c>
      <c r="C498" s="16" t="s">
        <v>202</v>
      </c>
      <c r="D498" s="16" t="s">
        <v>203</v>
      </c>
      <c r="E498" s="6" t="n">
        <v>1000</v>
      </c>
      <c r="F498" s="7" t="n">
        <v>2</v>
      </c>
      <c r="G498" s="6" t="n">
        <v>14.88</v>
      </c>
      <c r="H498" s="6" t="n">
        <v>4</v>
      </c>
      <c r="I498" s="6" t="n">
        <v>29.76</v>
      </c>
      <c r="J498" s="6" t="n">
        <v>25.76</v>
      </c>
    </row>
    <row collapsed="false" customFormat="false" customHeight="false" hidden="false" ht="12.1" outlineLevel="0" r="499">
      <c r="A499" s="35" t="n">
        <v>45985</v>
      </c>
      <c r="B499" s="16" t="s">
        <v>1375</v>
      </c>
      <c r="C499" s="16" t="s">
        <v>252</v>
      </c>
      <c r="D499" s="16" t="s">
        <v>253</v>
      </c>
      <c r="E499" s="6" t="n">
        <v>1000</v>
      </c>
      <c r="F499" s="7" t="n">
        <v>1</v>
      </c>
      <c r="G499" s="6" t="n">
        <v>19.48</v>
      </c>
      <c r="H499" s="6" t="n">
        <v>3</v>
      </c>
      <c r="I499" s="6" t="n">
        <v>19.48</v>
      </c>
      <c r="J499" s="6" t="n">
        <v>16.48</v>
      </c>
    </row>
    <row collapsed="false" customFormat="false" customHeight="false" hidden="false" ht="12.1" outlineLevel="0" r="500">
      <c r="A500" s="35" t="n">
        <v>45985</v>
      </c>
      <c r="B500" s="16" t="s">
        <v>1375</v>
      </c>
      <c r="C500" s="16" t="s">
        <v>172</v>
      </c>
      <c r="D500" s="16" t="s">
        <v>173</v>
      </c>
      <c r="E500" s="6" t="n">
        <v>1000</v>
      </c>
      <c r="F500" s="7" t="n">
        <v>3</v>
      </c>
      <c r="G500" s="6" t="n">
        <v>24.93</v>
      </c>
      <c r="H500" s="6" t="n">
        <v>10</v>
      </c>
      <c r="I500" s="6" t="n">
        <v>74.79</v>
      </c>
      <c r="J500" s="6" t="n">
        <v>64.79</v>
      </c>
    </row>
    <row collapsed="false" customFormat="false" customHeight="false" hidden="false" ht="12.1" outlineLevel="0" r="501">
      <c r="A501" s="35" t="n">
        <v>45986</v>
      </c>
      <c r="B501" s="16" t="s">
        <v>1375</v>
      </c>
      <c r="C501" s="16" t="s">
        <v>115</v>
      </c>
      <c r="D501" s="16" t="s">
        <v>116</v>
      </c>
      <c r="E501" s="6" t="n">
        <v>1000</v>
      </c>
      <c r="F501" s="7" t="n">
        <v>11</v>
      </c>
      <c r="G501" s="6" t="n">
        <v>61.08</v>
      </c>
      <c r="H501" s="6" t="n">
        <v>87</v>
      </c>
      <c r="I501" s="6" t="n">
        <v>671.88</v>
      </c>
      <c r="J501" s="6" t="n">
        <v>584.88</v>
      </c>
    </row>
    <row collapsed="false" customFormat="false" customHeight="false" hidden="false" ht="12.1" outlineLevel="0" r="502">
      <c r="A502" s="35" t="n">
        <v>45986</v>
      </c>
      <c r="B502" s="16" t="s">
        <v>1375</v>
      </c>
      <c r="C502" s="16" t="s">
        <v>118</v>
      </c>
      <c r="D502" s="16" t="s">
        <v>119</v>
      </c>
      <c r="E502" s="6" t="n">
        <v>1000</v>
      </c>
      <c r="F502" s="7" t="n">
        <v>12</v>
      </c>
      <c r="G502" s="6" t="n">
        <v>47.37</v>
      </c>
      <c r="H502" s="6" t="n">
        <v>74</v>
      </c>
      <c r="I502" s="6" t="n">
        <v>568.44</v>
      </c>
      <c r="J502" s="6" t="n">
        <v>494.44</v>
      </c>
    </row>
    <row collapsed="false" customFormat="false" customHeight="false" hidden="false" ht="12.1" outlineLevel="0" r="503">
      <c r="A503" s="35" t="n">
        <v>45988</v>
      </c>
      <c r="B503" s="16" t="s">
        <v>1375</v>
      </c>
      <c r="C503" s="16" t="s">
        <v>260</v>
      </c>
      <c r="D503" s="16" t="s">
        <v>261</v>
      </c>
      <c r="E503" s="6" t="n">
        <v>1000</v>
      </c>
      <c r="F503" s="7" t="n">
        <v>1</v>
      </c>
      <c r="G503" s="6" t="n">
        <v>24.81</v>
      </c>
      <c r="H503" s="6" t="n">
        <v>3</v>
      </c>
      <c r="I503" s="6" t="n">
        <v>24.81</v>
      </c>
      <c r="J503" s="6" t="n">
        <v>21.81</v>
      </c>
    </row>
    <row collapsed="false" customFormat="false" customHeight="false" hidden="false" ht="12.1" outlineLevel="0" r="504">
      <c r="A504" s="35" t="n">
        <v>45991</v>
      </c>
      <c r="B504" s="16" t="s">
        <v>1375</v>
      </c>
      <c r="C504" s="16" t="s">
        <v>314</v>
      </c>
      <c r="D504" s="16" t="s">
        <v>315</v>
      </c>
      <c r="E504" s="6" t="n">
        <v>1000</v>
      </c>
      <c r="F504" s="7" t="n">
        <v>1</v>
      </c>
      <c r="G504" s="6" t="n">
        <v>25.68</v>
      </c>
      <c r="H504" s="6" t="n">
        <v>3</v>
      </c>
      <c r="I504" s="6" t="n">
        <v>25.68</v>
      </c>
      <c r="J504" s="6" t="n">
        <v>22.68</v>
      </c>
    </row>
    <row collapsed="false" customFormat="false" customHeight="false" hidden="false" ht="12.1" outlineLevel="0" r="505">
      <c r="A505" s="35" t="n">
        <v>45991</v>
      </c>
      <c r="B505" s="16" t="s">
        <v>1375</v>
      </c>
      <c r="C505" s="16" t="s">
        <v>196</v>
      </c>
      <c r="D505" s="16" t="s">
        <v>197</v>
      </c>
      <c r="E505" s="6" t="n">
        <v>1000</v>
      </c>
      <c r="F505" s="7" t="n">
        <v>2</v>
      </c>
      <c r="G505" s="6" t="n">
        <v>19.95</v>
      </c>
      <c r="H505" s="6" t="n">
        <v>5</v>
      </c>
      <c r="I505" s="6" t="n">
        <v>39.9</v>
      </c>
      <c r="J505" s="6" t="n">
        <v>34.9</v>
      </c>
    </row>
    <row collapsed="false" customFormat="false" customHeight="false" hidden="false" ht="12.1" outlineLevel="0" r="506">
      <c r="A506" s="35" t="n">
        <v>45991</v>
      </c>
      <c r="B506" s="16" t="s">
        <v>1375</v>
      </c>
      <c r="C506" s="16" t="s">
        <v>278</v>
      </c>
      <c r="D506" s="16" t="s">
        <v>279</v>
      </c>
      <c r="E506" s="6" t="n">
        <v>1000</v>
      </c>
      <c r="F506" s="7" t="n">
        <v>1</v>
      </c>
      <c r="G506" s="6" t="n">
        <v>15.24</v>
      </c>
      <c r="H506" s="6" t="n">
        <v>2</v>
      </c>
      <c r="I506" s="6" t="n">
        <v>15.24</v>
      </c>
      <c r="J506" s="6" t="n">
        <v>13.24</v>
      </c>
    </row>
    <row collapsed="false" customFormat="false" customHeight="false" hidden="false" ht="12.1" outlineLevel="0" r="507">
      <c r="A507" s="35" t="n">
        <v>45992</v>
      </c>
      <c r="B507" s="16" t="s">
        <v>1375</v>
      </c>
      <c r="C507" s="16" t="s">
        <v>211</v>
      </c>
      <c r="D507" s="16" t="s">
        <v>212</v>
      </c>
      <c r="E507" s="6" t="n">
        <v>1000</v>
      </c>
      <c r="F507" s="7" t="n">
        <v>2</v>
      </c>
      <c r="G507" s="6" t="n">
        <v>56.1</v>
      </c>
      <c r="H507" s="6" t="n">
        <v>15</v>
      </c>
      <c r="I507" s="6" t="n">
        <v>112.2</v>
      </c>
      <c r="J507" s="6" t="n">
        <v>97.2</v>
      </c>
    </row>
    <row collapsed="false" customFormat="false" customHeight="false" hidden="false" ht="12.1" outlineLevel="0" r="508">
      <c r="A508" s="35" t="n">
        <v>45992</v>
      </c>
      <c r="B508" s="16" t="s">
        <v>1375</v>
      </c>
      <c r="C508" s="16" t="s">
        <v>266</v>
      </c>
      <c r="D508" s="16" t="s">
        <v>267</v>
      </c>
      <c r="E508" s="6" t="n">
        <v>1000</v>
      </c>
      <c r="F508" s="7" t="n">
        <v>1</v>
      </c>
      <c r="G508" s="6" t="n">
        <v>29.17</v>
      </c>
      <c r="H508" s="6" t="n">
        <v>4</v>
      </c>
      <c r="I508" s="6" t="n">
        <v>29.17</v>
      </c>
      <c r="J508" s="6" t="n">
        <v>25.17</v>
      </c>
    </row>
    <row collapsed="false" customFormat="false" customHeight="false" hidden="false" ht="12.1" outlineLevel="0" r="509">
      <c r="A509" s="35" t="n">
        <v>45993</v>
      </c>
      <c r="B509" s="16" t="s">
        <v>1375</v>
      </c>
      <c r="C509" s="16" t="s">
        <v>100</v>
      </c>
      <c r="D509" s="16" t="s">
        <v>101</v>
      </c>
      <c r="E509" s="6" t="n">
        <v>1000</v>
      </c>
      <c r="F509" s="7" t="n">
        <v>14</v>
      </c>
      <c r="G509" s="6" t="n">
        <v>61.08</v>
      </c>
      <c r="H509" s="6" t="n">
        <v>111</v>
      </c>
      <c r="I509" s="6" t="n">
        <v>855.12</v>
      </c>
      <c r="J509" s="6" t="n">
        <v>744.12</v>
      </c>
    </row>
    <row collapsed="false" customFormat="false" customHeight="false" hidden="false" ht="12.1" outlineLevel="0" r="510">
      <c r="A510" s="35" t="n">
        <v>45993</v>
      </c>
      <c r="B510" s="16" t="s">
        <v>1375</v>
      </c>
      <c r="C510" s="16" t="s">
        <v>320</v>
      </c>
      <c r="D510" s="16" t="s">
        <v>321</v>
      </c>
      <c r="E510" s="6" t="n">
        <v>1000</v>
      </c>
      <c r="F510" s="7" t="n">
        <v>1</v>
      </c>
      <c r="G510" s="6" t="n">
        <v>19.55</v>
      </c>
      <c r="H510" s="6" t="n">
        <v>3</v>
      </c>
      <c r="I510" s="6" t="n">
        <v>19.55</v>
      </c>
      <c r="J510" s="6" t="n">
        <v>16.55</v>
      </c>
    </row>
    <row collapsed="false" customFormat="false" customHeight="false" hidden="false" ht="12.1" outlineLevel="0" r="511">
      <c r="A511" s="35" t="n">
        <v>45993</v>
      </c>
      <c r="B511" s="16" t="s">
        <v>1375</v>
      </c>
      <c r="C511" s="16" t="s">
        <v>308</v>
      </c>
      <c r="D511" s="16" t="s">
        <v>309</v>
      </c>
      <c r="E511" s="6" t="n">
        <v>1000</v>
      </c>
      <c r="F511" s="7" t="n">
        <v>1</v>
      </c>
      <c r="G511" s="6" t="n">
        <v>56.84</v>
      </c>
      <c r="H511" s="6" t="n">
        <v>7</v>
      </c>
      <c r="I511" s="6" t="n">
        <v>56.84</v>
      </c>
      <c r="J511" s="6" t="n">
        <v>49.84</v>
      </c>
    </row>
    <row collapsed="false" customFormat="false" customHeight="false" hidden="false" ht="12.1" outlineLevel="0" r="512">
      <c r="A512" s="35" t="n">
        <v>45993</v>
      </c>
      <c r="B512" s="16" t="s">
        <v>1375</v>
      </c>
      <c r="C512" s="16" t="s">
        <v>91</v>
      </c>
      <c r="D512" s="16" t="s">
        <v>92</v>
      </c>
      <c r="E512" s="6" t="n">
        <v>1000</v>
      </c>
      <c r="F512" s="7" t="n">
        <v>17</v>
      </c>
      <c r="G512" s="6" t="n">
        <v>48.87</v>
      </c>
      <c r="H512" s="6" t="n">
        <v>108</v>
      </c>
      <c r="I512" s="6" t="n">
        <v>830.79</v>
      </c>
      <c r="J512" s="6" t="n">
        <v>722.79</v>
      </c>
    </row>
    <row collapsed="false" customFormat="false" customHeight="false" hidden="false" ht="12.1" outlineLevel="0" r="513">
      <c r="A513" s="35" t="n">
        <v>45993</v>
      </c>
      <c r="B513" s="16" t="s">
        <v>1375</v>
      </c>
      <c r="C513" s="16" t="s">
        <v>94</v>
      </c>
      <c r="D513" s="16" t="s">
        <v>95</v>
      </c>
      <c r="E513" s="6" t="n">
        <v>1000</v>
      </c>
      <c r="F513" s="7" t="n">
        <v>23</v>
      </c>
      <c r="G513" s="6" t="n">
        <v>35.4</v>
      </c>
      <c r="H513" s="6" t="n">
        <v>106</v>
      </c>
      <c r="I513" s="6" t="n">
        <v>814.2</v>
      </c>
      <c r="J513" s="6" t="n">
        <v>708.2</v>
      </c>
    </row>
    <row collapsed="false" customFormat="false" customHeight="false" hidden="false" ht="12.1" outlineLevel="0" r="514">
      <c r="A514" s="35" t="n">
        <v>45993</v>
      </c>
      <c r="B514" s="16" t="s">
        <v>1375</v>
      </c>
      <c r="C514" s="16" t="s">
        <v>232</v>
      </c>
      <c r="D514" s="16" t="s">
        <v>233</v>
      </c>
      <c r="E514" s="6" t="n">
        <v>1000</v>
      </c>
      <c r="F514" s="7" t="n">
        <v>2</v>
      </c>
      <c r="G514" s="6" t="n">
        <v>1.64</v>
      </c>
      <c r="H514" s="6" t="n">
        <v>0</v>
      </c>
      <c r="I514" s="6" t="n">
        <v>3.28</v>
      </c>
      <c r="J514" s="6" t="n">
        <v>3.28</v>
      </c>
    </row>
    <row collapsed="false" customFormat="false" customHeight="false" hidden="false" ht="12.1" outlineLevel="0" r="515">
      <c r="A515" s="35" t="n">
        <v>45993</v>
      </c>
      <c r="B515" s="16" t="s">
        <v>1375</v>
      </c>
      <c r="C515" s="16" t="s">
        <v>329</v>
      </c>
      <c r="D515" s="16" t="s">
        <v>330</v>
      </c>
      <c r="E515" s="6" t="n">
        <v>1000</v>
      </c>
      <c r="F515" s="7" t="n">
        <v>1</v>
      </c>
      <c r="G515" s="6" t="n">
        <v>19.87</v>
      </c>
      <c r="H515" s="6" t="n">
        <v>3</v>
      </c>
      <c r="I515" s="6" t="n">
        <v>19.87</v>
      </c>
      <c r="J515" s="6" t="n">
        <v>16.87</v>
      </c>
    </row>
    <row collapsed="false" customFormat="false" customHeight="false" hidden="false" ht="12.1" outlineLevel="0" r="516">
      <c r="A516" s="35" t="n">
        <v>45993</v>
      </c>
      <c r="B516" s="16" t="s">
        <v>1375</v>
      </c>
      <c r="C516" s="16" t="s">
        <v>924</v>
      </c>
      <c r="D516" s="16" t="s">
        <v>1386</v>
      </c>
      <c r="E516" s="6" t="n">
        <v>1000</v>
      </c>
      <c r="F516" s="7" t="n">
        <v>2</v>
      </c>
      <c r="G516" s="6" t="n">
        <v>32.66</v>
      </c>
      <c r="H516" s="6" t="n">
        <v>8</v>
      </c>
      <c r="I516" s="6" t="n">
        <v>65.32</v>
      </c>
      <c r="J516" s="6" t="n">
        <v>57.32</v>
      </c>
    </row>
    <row collapsed="false" customFormat="false" customHeight="false" hidden="false" ht="12.1" outlineLevel="0" r="517">
      <c r="A517" s="35" t="n">
        <v>45994</v>
      </c>
      <c r="B517" s="16" t="s">
        <v>1375</v>
      </c>
      <c r="C517" s="16" t="s">
        <v>281</v>
      </c>
      <c r="D517" s="16" t="s">
        <v>282</v>
      </c>
      <c r="E517" s="6" t="n">
        <v>1000</v>
      </c>
      <c r="F517" s="7" t="n">
        <v>1</v>
      </c>
      <c r="G517" s="6" t="n">
        <v>35.53</v>
      </c>
      <c r="H517" s="6" t="n">
        <v>5</v>
      </c>
      <c r="I517" s="6" t="n">
        <v>35.53</v>
      </c>
      <c r="J517" s="6" t="n">
        <v>30.53</v>
      </c>
    </row>
    <row collapsed="false" customFormat="false" customHeight="false" hidden="false" ht="12.1" outlineLevel="0" r="518">
      <c r="A518" s="35" t="n">
        <v>45994</v>
      </c>
      <c r="B518" s="16" t="s">
        <v>1375</v>
      </c>
      <c r="C518" s="16" t="s">
        <v>234</v>
      </c>
      <c r="D518" s="16" t="s">
        <v>235</v>
      </c>
      <c r="E518" s="6" t="n">
        <v>1000</v>
      </c>
      <c r="F518" s="7" t="n">
        <v>1</v>
      </c>
      <c r="G518" s="6" t="n">
        <v>19.11</v>
      </c>
      <c r="H518" s="6" t="n">
        <v>2</v>
      </c>
      <c r="I518" s="6" t="n">
        <v>19.11</v>
      </c>
      <c r="J518" s="6" t="n">
        <v>17.11</v>
      </c>
    </row>
    <row collapsed="false" customFormat="false" customHeight="false" hidden="false" ht="12.1" outlineLevel="0" r="519">
      <c r="A519" s="35" t="n">
        <v>45994</v>
      </c>
      <c r="B519" s="16" t="s">
        <v>1375</v>
      </c>
      <c r="C519" s="16" t="s">
        <v>199</v>
      </c>
      <c r="D519" s="16" t="s">
        <v>200</v>
      </c>
      <c r="E519" s="6" t="n">
        <v>1000</v>
      </c>
      <c r="F519" s="7" t="n">
        <v>2</v>
      </c>
      <c r="G519" s="6" t="n">
        <v>15.36</v>
      </c>
      <c r="H519" s="6" t="n">
        <v>4</v>
      </c>
      <c r="I519" s="6" t="n">
        <v>30.72</v>
      </c>
      <c r="J519" s="6" t="n">
        <v>26.72</v>
      </c>
    </row>
    <row collapsed="false" customFormat="false" customHeight="false" hidden="false" ht="12.1" outlineLevel="0" r="520">
      <c r="A520" s="35" t="n">
        <v>45999</v>
      </c>
      <c r="B520" s="16" t="s">
        <v>1375</v>
      </c>
      <c r="C520" s="16" t="s">
        <v>926</v>
      </c>
      <c r="D520" s="16" t="s">
        <v>1387</v>
      </c>
      <c r="E520" s="6" t="n">
        <v>860</v>
      </c>
      <c r="F520" s="7" t="n">
        <v>1</v>
      </c>
      <c r="G520" s="6" t="n">
        <v>28.95</v>
      </c>
      <c r="H520" s="6" t="n">
        <v>4</v>
      </c>
      <c r="I520" s="6" t="n">
        <v>28.95</v>
      </c>
      <c r="J520" s="6" t="n">
        <v>24.95</v>
      </c>
    </row>
    <row collapsed="false" customFormat="false" customHeight="false" hidden="false" ht="12.1" outlineLevel="0" r="521">
      <c r="A521" s="35" t="n">
        <v>46000</v>
      </c>
      <c r="B521" s="16" t="s">
        <v>1375</v>
      </c>
      <c r="C521" s="16" t="s">
        <v>257</v>
      </c>
      <c r="D521" s="16" t="s">
        <v>258</v>
      </c>
      <c r="E521" s="6" t="n">
        <v>1000</v>
      </c>
      <c r="F521" s="7" t="n">
        <v>1</v>
      </c>
      <c r="G521" s="6" t="n">
        <v>15.09</v>
      </c>
      <c r="H521" s="6" t="n">
        <v>2</v>
      </c>
      <c r="I521" s="6" t="n">
        <v>15.09</v>
      </c>
      <c r="J521" s="6" t="n">
        <v>13.09</v>
      </c>
    </row>
    <row collapsed="false" customFormat="false" customHeight="false" hidden="false" ht="12.1" outlineLevel="0" r="522">
      <c r="A522" s="35" t="n">
        <v>46002</v>
      </c>
      <c r="B522" s="16" t="s">
        <v>1375</v>
      </c>
      <c r="C522" s="16" t="s">
        <v>229</v>
      </c>
      <c r="D522" s="16" t="s">
        <v>230</v>
      </c>
      <c r="E522" s="6" t="n">
        <v>1000</v>
      </c>
      <c r="F522" s="7" t="n">
        <v>2</v>
      </c>
      <c r="G522" s="6" t="n">
        <v>17.83</v>
      </c>
      <c r="H522" s="6" t="n">
        <v>5</v>
      </c>
      <c r="I522" s="6" t="n">
        <v>35.66</v>
      </c>
      <c r="J522" s="6" t="n">
        <v>30.66</v>
      </c>
    </row>
    <row collapsed="false" customFormat="false" customHeight="false" hidden="false" ht="12.1" outlineLevel="0" r="523">
      <c r="A523" s="35" t="n">
        <v>46007</v>
      </c>
      <c r="B523" s="16" t="s">
        <v>1375</v>
      </c>
      <c r="C523" s="16" t="s">
        <v>88</v>
      </c>
      <c r="D523" s="16" t="s">
        <v>89</v>
      </c>
      <c r="E523" s="6" t="n">
        <v>1000</v>
      </c>
      <c r="F523" s="7" t="n">
        <v>14</v>
      </c>
      <c r="G523" s="6" t="n">
        <v>112.24</v>
      </c>
      <c r="H523" s="6" t="n">
        <v>204</v>
      </c>
      <c r="I523" s="6" t="n">
        <v>1571.36</v>
      </c>
      <c r="J523" s="6" t="n">
        <v>1367.36</v>
      </c>
    </row>
    <row collapsed="false" customFormat="false" customHeight="false" hidden="false" ht="12.1" outlineLevel="0" r="524">
      <c r="A524" s="35" t="n">
        <v>46008</v>
      </c>
      <c r="B524" s="16" t="s">
        <v>1375</v>
      </c>
      <c r="C524" s="16" t="s">
        <v>246</v>
      </c>
      <c r="D524" s="16" t="s">
        <v>247</v>
      </c>
      <c r="E524" s="6" t="n">
        <v>1000</v>
      </c>
      <c r="F524" s="7" t="n">
        <v>1</v>
      </c>
      <c r="G524" s="6" t="n">
        <v>20.96</v>
      </c>
      <c r="H524" s="6" t="n">
        <v>3</v>
      </c>
      <c r="I524" s="6" t="n">
        <v>20.96</v>
      </c>
      <c r="J524" s="6" t="n">
        <v>17.96</v>
      </c>
    </row>
    <row collapsed="false" customFormat="false" customHeight="false" hidden="false" ht="12.1" outlineLevel="0" r="525">
      <c r="A525" s="35" t="n">
        <v>46009</v>
      </c>
      <c r="B525" s="16" t="s">
        <v>1375</v>
      </c>
      <c r="C525" s="16" t="s">
        <v>317</v>
      </c>
      <c r="D525" s="16" t="s">
        <v>318</v>
      </c>
      <c r="E525" s="6" t="n">
        <v>1000</v>
      </c>
      <c r="F525" s="7" t="n">
        <v>1</v>
      </c>
      <c r="G525" s="6" t="n">
        <v>14.92</v>
      </c>
      <c r="H525" s="6" t="n">
        <v>2</v>
      </c>
      <c r="I525" s="6" t="n">
        <v>14.92</v>
      </c>
      <c r="J525" s="6" t="n">
        <v>12.92</v>
      </c>
    </row>
    <row collapsed="false" customFormat="false" customHeight="false" hidden="false" ht="12.1" outlineLevel="0" r="526">
      <c r="A526" s="35" t="n">
        <v>46009</v>
      </c>
      <c r="B526" s="16" t="s">
        <v>1375</v>
      </c>
      <c r="C526" s="16" t="s">
        <v>323</v>
      </c>
      <c r="D526" s="16" t="s">
        <v>324</v>
      </c>
      <c r="E526" s="6" t="n">
        <v>1000</v>
      </c>
      <c r="F526" s="7" t="n">
        <v>1</v>
      </c>
      <c r="G526" s="6" t="n">
        <v>11.18</v>
      </c>
      <c r="H526" s="6" t="n">
        <v>1</v>
      </c>
      <c r="I526" s="6" t="n">
        <v>11.18</v>
      </c>
      <c r="J526" s="6" t="n">
        <v>10.18</v>
      </c>
    </row>
    <row collapsed="false" customFormat="false" customHeight="false" hidden="false" ht="12.1" outlineLevel="0" r="527">
      <c r="A527" s="35" t="n">
        <v>46011</v>
      </c>
      <c r="B527" s="16" t="s">
        <v>1375</v>
      </c>
      <c r="C527" s="16" t="s">
        <v>202</v>
      </c>
      <c r="D527" s="16" t="s">
        <v>203</v>
      </c>
      <c r="E527" s="6" t="n">
        <v>1000</v>
      </c>
      <c r="F527" s="7" t="n">
        <v>2</v>
      </c>
      <c r="G527" s="6" t="n">
        <v>14.47</v>
      </c>
      <c r="H527" s="6" t="n">
        <v>4</v>
      </c>
      <c r="I527" s="6" t="n">
        <v>28.94</v>
      </c>
      <c r="J527" s="6" t="n">
        <v>24.94</v>
      </c>
    </row>
    <row collapsed="false" customFormat="false" customHeight="false" hidden="false" ht="12.1" outlineLevel="0" r="528">
      <c r="A528" s="35" t="n">
        <v>46014</v>
      </c>
      <c r="B528" s="16" t="s">
        <v>1375</v>
      </c>
      <c r="C528" s="16" t="s">
        <v>148</v>
      </c>
      <c r="D528" s="16" t="s">
        <v>149</v>
      </c>
      <c r="E528" s="6" t="n">
        <v>1000</v>
      </c>
      <c r="F528" s="7" t="n">
        <v>3</v>
      </c>
      <c r="G528" s="6" t="n">
        <v>54.85</v>
      </c>
      <c r="H528" s="6" t="n">
        <v>21</v>
      </c>
      <c r="I528" s="6" t="n">
        <v>164.55</v>
      </c>
      <c r="J528" s="6" t="n">
        <v>143.55</v>
      </c>
    </row>
    <row collapsed="false" customFormat="false" customHeight="false" hidden="false" ht="12.1" outlineLevel="0" r="529">
      <c r="A529" s="35" t="n">
        <v>46014</v>
      </c>
      <c r="B529" s="16" t="s">
        <v>1375</v>
      </c>
      <c r="C529" s="16" t="s">
        <v>145</v>
      </c>
      <c r="D529" s="16" t="s">
        <v>146</v>
      </c>
      <c r="E529" s="6" t="n">
        <v>1000</v>
      </c>
      <c r="F529" s="7" t="n">
        <v>4</v>
      </c>
      <c r="G529" s="6" t="n">
        <v>59.84</v>
      </c>
      <c r="H529" s="6" t="n">
        <v>31</v>
      </c>
      <c r="I529" s="6" t="n">
        <v>239.36</v>
      </c>
      <c r="J529" s="6" t="n">
        <v>208.36</v>
      </c>
    </row>
    <row collapsed="false" customFormat="false" customHeight="false" hidden="false" ht="12.1" outlineLevel="0" r="530">
      <c r="A530" s="35" t="n">
        <v>46015</v>
      </c>
      <c r="B530" s="16" t="s">
        <v>1375</v>
      </c>
      <c r="C530" s="16" t="s">
        <v>252</v>
      </c>
      <c r="D530" s="16" t="s">
        <v>253</v>
      </c>
      <c r="E530" s="6" t="n">
        <v>1000</v>
      </c>
      <c r="F530" s="7" t="n">
        <v>1</v>
      </c>
      <c r="G530" s="6" t="n">
        <v>19.48</v>
      </c>
      <c r="H530" s="6" t="n">
        <v>3</v>
      </c>
      <c r="I530" s="6" t="n">
        <v>19.48</v>
      </c>
      <c r="J530" s="6" t="n">
        <v>16.48</v>
      </c>
    </row>
    <row collapsed="false" customFormat="false" customHeight="false" hidden="false" ht="12.1" outlineLevel="0" r="531">
      <c r="A531" s="35" t="n">
        <v>46016</v>
      </c>
      <c r="B531" s="16" t="s">
        <v>1375</v>
      </c>
      <c r="C531" s="16" t="s">
        <v>296</v>
      </c>
      <c r="D531" s="16" t="s">
        <v>297</v>
      </c>
      <c r="E531" s="6" t="n">
        <v>500</v>
      </c>
      <c r="F531" s="7" t="n">
        <v>2</v>
      </c>
      <c r="G531" s="6" t="n">
        <v>16.45</v>
      </c>
      <c r="H531" s="6" t="n">
        <v>4</v>
      </c>
      <c r="I531" s="6" t="n">
        <v>32.9</v>
      </c>
      <c r="J531" s="6" t="n">
        <v>28.9</v>
      </c>
    </row>
    <row collapsed="false" customFormat="false" customHeight="false" hidden="false" ht="12.1" outlineLevel="0" r="532">
      <c r="A532" s="35" t="n">
        <v>46022</v>
      </c>
      <c r="B532" s="16" t="s">
        <v>1375</v>
      </c>
      <c r="C532" s="16" t="s">
        <v>278</v>
      </c>
      <c r="D532" s="16" t="s">
        <v>279</v>
      </c>
      <c r="E532" s="6" t="n">
        <v>1000</v>
      </c>
      <c r="F532" s="7" t="n">
        <v>1</v>
      </c>
      <c r="G532" s="6" t="n">
        <v>14.99</v>
      </c>
      <c r="H532" s="6" t="n">
        <v>2</v>
      </c>
      <c r="I532" s="6" t="n">
        <v>14.99</v>
      </c>
      <c r="J532" s="6" t="n">
        <v>12.99</v>
      </c>
    </row>
    <row collapsed="false" customFormat="false" customHeight="false" hidden="false" ht="12.1" outlineLevel="0" r="533">
      <c r="A533" s="35" t="n">
        <v>46023</v>
      </c>
      <c r="B533" s="16" t="s">
        <v>1375</v>
      </c>
      <c r="C533" s="16" t="s">
        <v>232</v>
      </c>
      <c r="D533" s="16" t="s">
        <v>233</v>
      </c>
      <c r="E533" s="6" t="n">
        <v>1000</v>
      </c>
      <c r="F533" s="7" t="n">
        <v>2</v>
      </c>
      <c r="G533" s="6" t="n">
        <v>1.64</v>
      </c>
      <c r="H533" s="6" t="n">
        <v>0</v>
      </c>
      <c r="I533" s="6" t="n">
        <v>3.28</v>
      </c>
      <c r="J533" s="6" t="n">
        <v>3.28</v>
      </c>
    </row>
    <row collapsed="false" customFormat="false" customHeight="false" hidden="false" ht="12.1" outlineLevel="0" r="534">
      <c r="A534" s="35" t="n">
        <v>46024</v>
      </c>
      <c r="B534" s="16" t="s">
        <v>1375</v>
      </c>
      <c r="C534" s="16" t="s">
        <v>234</v>
      </c>
      <c r="D534" s="16" t="s">
        <v>235</v>
      </c>
      <c r="E534" s="6" t="n">
        <v>1000</v>
      </c>
      <c r="F534" s="7" t="n">
        <v>1</v>
      </c>
      <c r="G534" s="6" t="n">
        <v>19.11</v>
      </c>
      <c r="H534" s="6" t="n">
        <v>2</v>
      </c>
      <c r="I534" s="6" t="n">
        <v>19.11</v>
      </c>
      <c r="J534" s="6" t="n">
        <v>17.11</v>
      </c>
    </row>
    <row collapsed="false" customFormat="false" customHeight="false" hidden="false" ht="12.1" outlineLevel="0" r="535">
      <c r="A535" s="35" t="n">
        <v>46025</v>
      </c>
      <c r="B535" s="16" t="s">
        <v>1375</v>
      </c>
      <c r="C535" s="16" t="s">
        <v>199</v>
      </c>
      <c r="D535" s="16" t="s">
        <v>200</v>
      </c>
      <c r="E535" s="6" t="n">
        <v>1000</v>
      </c>
      <c r="F535" s="7" t="n">
        <v>2</v>
      </c>
      <c r="G535" s="6" t="n">
        <v>15.15</v>
      </c>
      <c r="H535" s="6" t="n">
        <v>4</v>
      </c>
      <c r="I535" s="6" t="n">
        <v>30.3</v>
      </c>
      <c r="J535" s="6" t="n">
        <v>26.3</v>
      </c>
    </row>
    <row collapsed="false" customFormat="false" customHeight="false" hidden="false" ht="12.1" outlineLevel="0" r="536">
      <c r="A536" s="35" t="n">
        <v>46026</v>
      </c>
      <c r="B536" s="16" t="s">
        <v>1375</v>
      </c>
      <c r="C536" s="16" t="s">
        <v>326</v>
      </c>
      <c r="D536" s="16" t="s">
        <v>327</v>
      </c>
      <c r="E536" s="6" t="n">
        <v>1000</v>
      </c>
      <c r="F536" s="7" t="n">
        <v>1</v>
      </c>
      <c r="G536" s="6" t="n">
        <v>44.88</v>
      </c>
      <c r="H536" s="6" t="n">
        <v>6</v>
      </c>
      <c r="I536" s="6" t="n">
        <v>44.88</v>
      </c>
      <c r="J536" s="6" t="n">
        <v>38.88</v>
      </c>
    </row>
    <row collapsed="false" customFormat="false" customHeight="false" hidden="false" ht="12.1" outlineLevel="0" r="537">
      <c r="A537" s="35" t="n">
        <v>46031</v>
      </c>
      <c r="B537" s="16" t="s">
        <v>1375</v>
      </c>
      <c r="C537" s="16" t="s">
        <v>257</v>
      </c>
      <c r="D537" s="16" t="s">
        <v>258</v>
      </c>
      <c r="E537" s="6" t="n">
        <v>1000</v>
      </c>
      <c r="F537" s="7" t="n">
        <v>1</v>
      </c>
      <c r="G537" s="6" t="n">
        <v>14.96</v>
      </c>
      <c r="H537" s="6" t="n">
        <v>2</v>
      </c>
      <c r="I537" s="6" t="n">
        <v>14.96</v>
      </c>
      <c r="J537" s="6" t="n">
        <v>12.96</v>
      </c>
    </row>
    <row collapsed="false" customFormat="false" customHeight="false" hidden="false" ht="12.1" outlineLevel="0" r="538">
      <c r="A538" s="35" t="n">
        <v>46034</v>
      </c>
      <c r="B538" s="16" t="s">
        <v>1375</v>
      </c>
      <c r="C538" s="16" t="s">
        <v>217</v>
      </c>
      <c r="D538" s="16" t="s">
        <v>218</v>
      </c>
      <c r="E538" s="6" t="n">
        <v>1000</v>
      </c>
      <c r="F538" s="7" t="n">
        <v>2</v>
      </c>
      <c r="G538" s="6" t="n">
        <v>24.93</v>
      </c>
      <c r="H538" s="6" t="n">
        <v>6</v>
      </c>
      <c r="I538" s="6" t="n">
        <v>49.86</v>
      </c>
      <c r="J538" s="6" t="n">
        <v>43.86</v>
      </c>
    </row>
    <row collapsed="false" customFormat="false" customHeight="false" hidden="false" ht="12.1" outlineLevel="0" r="539">
      <c r="A539" s="35" t="n">
        <v>46035</v>
      </c>
      <c r="B539" s="16" t="s">
        <v>1375</v>
      </c>
      <c r="C539" s="16" t="s">
        <v>305</v>
      </c>
      <c r="D539" s="16" t="s">
        <v>306</v>
      </c>
      <c r="E539" s="6" t="n">
        <v>1000</v>
      </c>
      <c r="F539" s="7" t="n">
        <v>1</v>
      </c>
      <c r="G539" s="6" t="n">
        <v>26.18</v>
      </c>
      <c r="H539" s="6" t="n">
        <v>3</v>
      </c>
      <c r="I539" s="6" t="n">
        <v>26.18</v>
      </c>
      <c r="J539" s="6" t="n">
        <v>23.18</v>
      </c>
    </row>
    <row collapsed="false" customFormat="false" customHeight="false" hidden="false" ht="12.1" outlineLevel="0" r="540">
      <c r="A540" s="35" t="n">
        <v>46036</v>
      </c>
      <c r="B540" s="16" t="s">
        <v>1375</v>
      </c>
      <c r="C540" s="16" t="s">
        <v>302</v>
      </c>
      <c r="D540" s="16" t="s">
        <v>303</v>
      </c>
      <c r="E540" s="6" t="n">
        <v>1000</v>
      </c>
      <c r="F540" s="7" t="n">
        <v>1</v>
      </c>
      <c r="G540" s="6" t="n">
        <v>50.86</v>
      </c>
      <c r="H540" s="6" t="n">
        <v>7</v>
      </c>
      <c r="I540" s="6" t="n">
        <v>50.86</v>
      </c>
      <c r="J540" s="6" t="n">
        <v>43.86</v>
      </c>
    </row>
    <row collapsed="false" customFormat="false" customHeight="false" hidden="false" ht="12.1" outlineLevel="0" r="541">
      <c r="A541" s="35" t="n">
        <v>46036</v>
      </c>
      <c r="B541" s="16" t="s">
        <v>1375</v>
      </c>
      <c r="C541" s="16" t="s">
        <v>178</v>
      </c>
      <c r="D541" s="16" t="s">
        <v>179</v>
      </c>
      <c r="E541" s="6" t="n">
        <v>1000</v>
      </c>
      <c r="F541" s="7" t="n">
        <v>2</v>
      </c>
      <c r="G541" s="6" t="n">
        <v>43.13</v>
      </c>
      <c r="H541" s="6" t="n">
        <v>11</v>
      </c>
      <c r="I541" s="6" t="n">
        <v>86.26</v>
      </c>
      <c r="J541" s="6" t="n">
        <v>75.26</v>
      </c>
    </row>
    <row collapsed="false" customFormat="false" customHeight="false" hidden="false" ht="12.1" outlineLevel="0" r="542">
      <c r="A542" s="35" t="n">
        <v>46038</v>
      </c>
      <c r="B542" s="16" t="s">
        <v>1375</v>
      </c>
      <c r="C542" s="16" t="s">
        <v>246</v>
      </c>
      <c r="D542" s="16" t="s">
        <v>247</v>
      </c>
      <c r="E542" s="6" t="n">
        <v>1000</v>
      </c>
      <c r="F542" s="7" t="n">
        <v>1</v>
      </c>
      <c r="G542" s="6" t="n">
        <v>20.96</v>
      </c>
      <c r="H542" s="6" t="n">
        <v>3</v>
      </c>
      <c r="I542" s="6" t="n">
        <v>20.96</v>
      </c>
      <c r="J542" s="6" t="n">
        <v>17.96</v>
      </c>
    </row>
    <row collapsed="false" customFormat="false" customHeight="false" hidden="false" ht="12.1" outlineLevel="0" r="543">
      <c r="A543" s="35" t="n">
        <v>46039</v>
      </c>
      <c r="B543" s="16" t="s">
        <v>1375</v>
      </c>
      <c r="C543" s="16" t="s">
        <v>323</v>
      </c>
      <c r="D543" s="16" t="s">
        <v>324</v>
      </c>
      <c r="E543" s="6" t="n">
        <v>1000</v>
      </c>
      <c r="F543" s="7" t="n">
        <v>1</v>
      </c>
      <c r="G543" s="6" t="n">
        <v>11.18</v>
      </c>
      <c r="H543" s="6" t="n">
        <v>1</v>
      </c>
      <c r="I543" s="6" t="n">
        <v>11.18</v>
      </c>
      <c r="J543" s="6" t="n">
        <v>10.18</v>
      </c>
    </row>
    <row collapsed="false" customFormat="false" customHeight="false" hidden="false" ht="12.1" outlineLevel="0" r="544">
      <c r="A544" s="35" t="n">
        <v>46040</v>
      </c>
      <c r="B544" s="16" t="s">
        <v>1375</v>
      </c>
      <c r="C544" s="16" t="s">
        <v>317</v>
      </c>
      <c r="D544" s="16" t="s">
        <v>318</v>
      </c>
      <c r="E544" s="6" t="n">
        <v>1000</v>
      </c>
      <c r="F544" s="7" t="n">
        <v>1</v>
      </c>
      <c r="G544" s="6" t="n">
        <v>14.86</v>
      </c>
      <c r="H544" s="6" t="n">
        <v>2</v>
      </c>
      <c r="I544" s="6" t="n">
        <v>14.86</v>
      </c>
      <c r="J544" s="6" t="n">
        <v>12.86</v>
      </c>
    </row>
    <row collapsed="false" customFormat="false" customHeight="false" hidden="false" ht="12.1" outlineLevel="0" r="545">
      <c r="A545" s="35" t="n">
        <v>46040</v>
      </c>
      <c r="B545" s="16" t="s">
        <v>1375</v>
      </c>
      <c r="C545" s="16" t="s">
        <v>214</v>
      </c>
      <c r="D545" s="16" t="s">
        <v>215</v>
      </c>
      <c r="E545" s="6" t="n">
        <v>1000</v>
      </c>
      <c r="F545" s="7" t="n">
        <v>2</v>
      </c>
      <c r="G545" s="6" t="n">
        <v>54.35</v>
      </c>
      <c r="H545" s="6" t="n">
        <v>14</v>
      </c>
      <c r="I545" s="6" t="n">
        <v>108.7</v>
      </c>
      <c r="J545" s="6" t="n">
        <v>94.7</v>
      </c>
    </row>
    <row collapsed="false" customFormat="false" customHeight="false" hidden="false" ht="12.1" outlineLevel="0" r="546">
      <c r="A546" s="35" t="n">
        <v>46041</v>
      </c>
      <c r="B546" s="16" t="s">
        <v>1375</v>
      </c>
      <c r="C546" s="16" t="s">
        <v>334</v>
      </c>
      <c r="D546" s="16" t="s">
        <v>335</v>
      </c>
      <c r="E546" s="6" t="n">
        <v>340</v>
      </c>
      <c r="F546" s="7" t="n">
        <v>1</v>
      </c>
      <c r="G546" s="6" t="n">
        <v>11.66</v>
      </c>
      <c r="H546" s="6" t="n">
        <v>2</v>
      </c>
      <c r="I546" s="6" t="n">
        <v>11.66</v>
      </c>
      <c r="J546" s="6" t="n">
        <v>9.66</v>
      </c>
    </row>
    <row collapsed="false" customFormat="false" customHeight="false" hidden="false" ht="12.1" outlineLevel="0" r="547">
      <c r="A547" s="35" t="n">
        <v>46041</v>
      </c>
      <c r="B547" s="16" t="s">
        <v>1375</v>
      </c>
      <c r="C547" s="16" t="s">
        <v>202</v>
      </c>
      <c r="D547" s="16" t="s">
        <v>203</v>
      </c>
      <c r="E547" s="6" t="n">
        <v>1000</v>
      </c>
      <c r="F547" s="7" t="n">
        <v>2</v>
      </c>
      <c r="G547" s="6" t="n">
        <v>14.47</v>
      </c>
      <c r="H547" s="6" t="n">
        <v>4</v>
      </c>
      <c r="I547" s="6" t="n">
        <v>28.94</v>
      </c>
      <c r="J547" s="6" t="n">
        <v>24.94</v>
      </c>
    </row>
    <row collapsed="false" customFormat="false" customHeight="false" hidden="false" ht="12.1" outlineLevel="0" r="548">
      <c r="A548" s="35" t="n">
        <v>46042</v>
      </c>
      <c r="B548" s="16" t="s">
        <v>1375</v>
      </c>
      <c r="C548" s="16" t="s">
        <v>287</v>
      </c>
      <c r="D548" s="16" t="s">
        <v>288</v>
      </c>
      <c r="E548" s="6" t="n">
        <v>1000</v>
      </c>
      <c r="F548" s="7" t="n">
        <v>1</v>
      </c>
      <c r="G548" s="6" t="n">
        <v>43.38</v>
      </c>
      <c r="H548" s="6" t="n">
        <v>6</v>
      </c>
      <c r="I548" s="6" t="n">
        <v>43.38</v>
      </c>
      <c r="J548" s="6" t="n">
        <v>37.38</v>
      </c>
    </row>
    <row collapsed="false" customFormat="false" customHeight="false" hidden="false" ht="12.1" outlineLevel="0" r="549">
      <c r="A549" s="35" t="n">
        <v>46042</v>
      </c>
      <c r="B549" s="16" t="s">
        <v>1375</v>
      </c>
      <c r="C549" s="16" t="s">
        <v>272</v>
      </c>
      <c r="D549" s="16" t="s">
        <v>273</v>
      </c>
      <c r="E549" s="6" t="n">
        <v>1000</v>
      </c>
      <c r="F549" s="7" t="n">
        <v>1</v>
      </c>
      <c r="G549" s="6" t="n">
        <v>44.13</v>
      </c>
      <c r="H549" s="6" t="n">
        <v>6</v>
      </c>
      <c r="I549" s="6" t="n">
        <v>44.13</v>
      </c>
      <c r="J549" s="6" t="n">
        <v>38.13</v>
      </c>
    </row>
    <row collapsed="false" customFormat="false" customHeight="false" hidden="false" ht="12.1" outlineLevel="0" r="550">
      <c r="A550" s="35" t="n">
        <v>46045</v>
      </c>
      <c r="B550" s="16" t="s">
        <v>1375</v>
      </c>
      <c r="C550" s="16" t="s">
        <v>252</v>
      </c>
      <c r="D550" s="16" t="s">
        <v>253</v>
      </c>
      <c r="E550" s="6" t="n">
        <v>1000</v>
      </c>
      <c r="F550" s="7" t="n">
        <v>1</v>
      </c>
      <c r="G550" s="6" t="n">
        <v>19.48</v>
      </c>
      <c r="H550" s="6" t="n">
        <v>3</v>
      </c>
      <c r="I550" s="6" t="n">
        <v>19.48</v>
      </c>
      <c r="J550" s="6" t="n">
        <v>16.48</v>
      </c>
    </row>
    <row collapsed="false" customFormat="false" customHeight="false" hidden="false" ht="12.1" outlineLevel="0" r="551">
      <c r="A551" s="35" t="n">
        <v>46048</v>
      </c>
      <c r="B551" s="16" t="s">
        <v>1375</v>
      </c>
      <c r="C551" s="16" t="s">
        <v>290</v>
      </c>
      <c r="D551" s="16" t="s">
        <v>291</v>
      </c>
      <c r="E551" s="6" t="n">
        <v>1000</v>
      </c>
      <c r="F551" s="7" t="n">
        <v>1</v>
      </c>
      <c r="G551" s="6" t="n">
        <v>28.22</v>
      </c>
      <c r="H551" s="6" t="n">
        <v>4</v>
      </c>
      <c r="I551" s="6" t="n">
        <v>28.22</v>
      </c>
      <c r="J551" s="6" t="n">
        <v>24.22</v>
      </c>
    </row>
    <row collapsed="false" customFormat="false" customHeight="false" hidden="false" ht="12.1" outlineLevel="0" r="552">
      <c r="A552" s="35" t="n">
        <v>46048</v>
      </c>
      <c r="B552" s="16" t="s">
        <v>1375</v>
      </c>
      <c r="C552" s="16" t="s">
        <v>226</v>
      </c>
      <c r="D552" s="16" t="s">
        <v>227</v>
      </c>
      <c r="E552" s="6" t="n">
        <v>1000</v>
      </c>
      <c r="F552" s="7" t="n">
        <v>2</v>
      </c>
      <c r="G552" s="6" t="n">
        <v>29.17</v>
      </c>
      <c r="H552" s="6" t="n">
        <v>8</v>
      </c>
      <c r="I552" s="6" t="n">
        <v>58.34</v>
      </c>
      <c r="J552" s="6" t="n">
        <v>50.34</v>
      </c>
    </row>
    <row collapsed="false" customFormat="false" customHeight="false" hidden="false" ht="12.1" outlineLevel="0" r="553">
      <c r="A553" s="35" t="n">
        <v>46049</v>
      </c>
      <c r="B553" s="16" t="s">
        <v>1375</v>
      </c>
      <c r="C553" s="16" t="s">
        <v>293</v>
      </c>
      <c r="D553" s="16" t="s">
        <v>294</v>
      </c>
      <c r="E553" s="6" t="n">
        <v>1000</v>
      </c>
      <c r="F553" s="7" t="n">
        <v>1</v>
      </c>
      <c r="G553" s="6" t="n">
        <v>40.15</v>
      </c>
      <c r="H553" s="6" t="n">
        <v>5</v>
      </c>
      <c r="I553" s="6" t="n">
        <v>40.15</v>
      </c>
      <c r="J553" s="6" t="n">
        <v>35.15</v>
      </c>
    </row>
    <row collapsed="false" customFormat="false" customHeight="false" hidden="false" ht="12.1" outlineLevel="0" r="554">
      <c r="A554" s="35" t="n">
        <v>46049</v>
      </c>
      <c r="B554" s="16" t="s">
        <v>1375</v>
      </c>
      <c r="C554" s="16" t="s">
        <v>154</v>
      </c>
      <c r="D554" s="16" t="s">
        <v>155</v>
      </c>
      <c r="E554" s="6" t="n">
        <v>1000</v>
      </c>
      <c r="F554" s="7" t="n">
        <v>6</v>
      </c>
      <c r="G554" s="6" t="n">
        <v>34.41</v>
      </c>
      <c r="H554" s="6" t="n">
        <v>27</v>
      </c>
      <c r="I554" s="6" t="n">
        <v>206.46</v>
      </c>
      <c r="J554" s="6" t="n">
        <v>179.46</v>
      </c>
    </row>
    <row collapsed="false" customFormat="false" customHeight="false" hidden="false" ht="12.1" outlineLevel="0" r="555">
      <c r="A555" s="35" t="n">
        <v>46049</v>
      </c>
      <c r="B555" s="16" t="s">
        <v>1375</v>
      </c>
      <c r="C555" s="16" t="s">
        <v>84</v>
      </c>
      <c r="D555" s="16" t="s">
        <v>86</v>
      </c>
      <c r="E555" s="6" t="n">
        <v>1000</v>
      </c>
      <c r="F555" s="7" t="n">
        <v>34</v>
      </c>
      <c r="G555" s="6" t="n">
        <v>30.42</v>
      </c>
      <c r="H555" s="6" t="n">
        <v>134</v>
      </c>
      <c r="I555" s="6" t="n">
        <v>1034.28</v>
      </c>
      <c r="J555" s="6" t="n">
        <v>900.28</v>
      </c>
    </row>
    <row collapsed="false" customFormat="false" customHeight="false" hidden="false" ht="12.1" outlineLevel="0" r="556">
      <c r="A556" s="35" t="n">
        <v>46051</v>
      </c>
      <c r="B556" s="16" t="s">
        <v>1375</v>
      </c>
      <c r="C556" s="16" t="s">
        <v>299</v>
      </c>
      <c r="D556" s="16" t="s">
        <v>300</v>
      </c>
      <c r="E556" s="6" t="n">
        <v>1000</v>
      </c>
      <c r="F556" s="7" t="n">
        <v>1</v>
      </c>
      <c r="G556" s="6" t="n">
        <v>23.86</v>
      </c>
      <c r="H556" s="6" t="n">
        <v>3</v>
      </c>
      <c r="I556" s="6" t="n">
        <v>23.86</v>
      </c>
      <c r="J556" s="6" t="n">
        <v>20.86</v>
      </c>
    </row>
    <row collapsed="false" customFormat="false" customHeight="false" hidden="false" ht="12.1" outlineLevel="0" r="557">
      <c r="A557" s="35" t="n">
        <v>46051</v>
      </c>
      <c r="B557" s="16" t="s">
        <v>1375</v>
      </c>
      <c r="C557" s="16" t="s">
        <v>151</v>
      </c>
      <c r="D557" s="16" t="s">
        <v>152</v>
      </c>
      <c r="E557" s="6" t="n">
        <v>1000</v>
      </c>
      <c r="F557" s="7" t="n">
        <v>4</v>
      </c>
      <c r="G557" s="6" t="n">
        <v>59.84</v>
      </c>
      <c r="H557" s="6" t="n">
        <v>31</v>
      </c>
      <c r="I557" s="6" t="n">
        <v>239.36</v>
      </c>
      <c r="J557" s="6" t="n">
        <v>208.36</v>
      </c>
    </row>
    <row collapsed="false" customFormat="false" customHeight="false" hidden="false" ht="12.1" outlineLevel="0" r="558">
      <c r="A558" s="35" t="n">
        <v>46052</v>
      </c>
      <c r="B558" s="16" t="s">
        <v>1375</v>
      </c>
      <c r="C558" s="16" t="s">
        <v>311</v>
      </c>
      <c r="D558" s="16" t="s">
        <v>312</v>
      </c>
      <c r="E558" s="6" t="n">
        <v>1000</v>
      </c>
      <c r="F558" s="7" t="n">
        <v>1</v>
      </c>
      <c r="G558" s="6" t="n">
        <v>53.1</v>
      </c>
      <c r="H558" s="6" t="n">
        <v>7</v>
      </c>
      <c r="I558" s="6" t="n">
        <v>53.1</v>
      </c>
      <c r="J558" s="6" t="n">
        <v>46.1</v>
      </c>
    </row>
    <row collapsed="false" customFormat="false" customHeight="false" hidden="false" ht="12.1" outlineLevel="0" r="559">
      <c r="A559" s="35" t="n">
        <v>46053</v>
      </c>
      <c r="B559" s="16" t="s">
        <v>1375</v>
      </c>
      <c r="C559" s="16" t="s">
        <v>278</v>
      </c>
      <c r="D559" s="16" t="s">
        <v>279</v>
      </c>
      <c r="E559" s="6" t="n">
        <v>1000</v>
      </c>
      <c r="F559" s="7" t="n">
        <v>1</v>
      </c>
      <c r="G559" s="6" t="n">
        <v>14.78</v>
      </c>
      <c r="H559" s="6" t="n">
        <v>2</v>
      </c>
      <c r="I559" s="6" t="n">
        <v>14.78</v>
      </c>
      <c r="J559" s="6" t="n">
        <v>12.78</v>
      </c>
    </row>
    <row collapsed="false" customFormat="false" customHeight="false" hidden="false" ht="12.1" outlineLevel="0" r="560">
      <c r="A560" s="35" t="n">
        <v>46053</v>
      </c>
      <c r="B560" s="16" t="s">
        <v>1375</v>
      </c>
      <c r="C560" s="16" t="s">
        <v>232</v>
      </c>
      <c r="D560" s="16" t="s">
        <v>233</v>
      </c>
      <c r="E560" s="6" t="n">
        <v>1000</v>
      </c>
      <c r="F560" s="7" t="n">
        <v>2</v>
      </c>
      <c r="G560" s="6" t="n">
        <v>1.64</v>
      </c>
      <c r="H560" s="6" t="n">
        <v>0</v>
      </c>
      <c r="I560" s="6" t="n">
        <v>3.28</v>
      </c>
      <c r="J560" s="6" t="n">
        <v>3.28</v>
      </c>
    </row>
    <row collapsed="false" customFormat="false" customHeight="false" hidden="false" ht="12.1" outlineLevel="0" r="561">
      <c r="A561" s="35" t="n">
        <v>46054</v>
      </c>
      <c r="B561" s="16" t="s">
        <v>1375</v>
      </c>
      <c r="C561" s="16" t="s">
        <v>234</v>
      </c>
      <c r="D561" s="16" t="s">
        <v>235</v>
      </c>
      <c r="E561" s="6" t="n">
        <v>1000</v>
      </c>
      <c r="F561" s="7" t="n">
        <v>1</v>
      </c>
      <c r="G561" s="6" t="n">
        <v>19.11</v>
      </c>
      <c r="H561" s="6" t="n">
        <v>2</v>
      </c>
      <c r="I561" s="6" t="n">
        <v>19.11</v>
      </c>
      <c r="J561" s="6" t="n">
        <v>17.11</v>
      </c>
    </row>
    <row collapsed="false" customFormat="false" customHeight="false" hidden="false" ht="12.1" outlineLevel="0" r="562">
      <c r="A562" s="35" t="n">
        <v>46056</v>
      </c>
      <c r="B562" s="16" t="s">
        <v>1375</v>
      </c>
      <c r="C562" s="16" t="s">
        <v>199</v>
      </c>
      <c r="D562" s="16" t="s">
        <v>200</v>
      </c>
      <c r="E562" s="6" t="n">
        <v>1000</v>
      </c>
      <c r="F562" s="7" t="n">
        <v>2</v>
      </c>
      <c r="G562" s="6" t="n">
        <v>14.91</v>
      </c>
      <c r="H562" s="6" t="n">
        <v>4</v>
      </c>
      <c r="I562" s="6" t="n">
        <v>29.82</v>
      </c>
      <c r="J562" s="6" t="n">
        <v>25.82</v>
      </c>
    </row>
    <row collapsed="false" customFormat="false" customHeight="false" hidden="false" ht="12.1" outlineLevel="0" r="563">
      <c r="A563" s="35" t="n">
        <v>46056</v>
      </c>
      <c r="B563" s="16" t="s">
        <v>1375</v>
      </c>
      <c r="C563" s="16" t="s">
        <v>166</v>
      </c>
      <c r="D563" s="16" t="s">
        <v>167</v>
      </c>
      <c r="E563" s="6" t="n">
        <v>1689.46</v>
      </c>
      <c r="F563" s="7" t="n">
        <v>2</v>
      </c>
      <c r="G563" s="6" t="n">
        <v>21.06</v>
      </c>
      <c r="H563" s="6" t="n">
        <v>5</v>
      </c>
      <c r="I563" s="6" t="n">
        <v>42.12</v>
      </c>
      <c r="J563" s="6" t="n">
        <v>37.12</v>
      </c>
    </row>
    <row collapsed="false" customFormat="false" customHeight="false" hidden="false" ht="12.1" outlineLevel="0" r="564">
      <c r="A564" s="35" t="n">
        <v>46062</v>
      </c>
      <c r="B564" s="16" t="s">
        <v>1375</v>
      </c>
      <c r="C564" s="16" t="s">
        <v>254</v>
      </c>
      <c r="D564" s="16" t="s">
        <v>255</v>
      </c>
      <c r="E564" s="6" t="n">
        <v>1000</v>
      </c>
      <c r="F564" s="7" t="n">
        <v>1</v>
      </c>
      <c r="G564" s="6" t="n">
        <v>11.38</v>
      </c>
      <c r="H564" s="6" t="n">
        <v>1</v>
      </c>
      <c r="I564" s="6" t="n">
        <v>11.38</v>
      </c>
      <c r="J564" s="6" t="n">
        <v>10.38</v>
      </c>
    </row>
    <row collapsed="false" customFormat="false" customHeight="false" hidden="false" ht="12.1" outlineLevel="0" r="565">
      <c r="A565" s="35" t="n">
        <v>46062</v>
      </c>
      <c r="B565" s="16" t="s">
        <v>1375</v>
      </c>
      <c r="C565" s="16" t="s">
        <v>257</v>
      </c>
      <c r="D565" s="16" t="s">
        <v>258</v>
      </c>
      <c r="E565" s="6" t="n">
        <v>1000</v>
      </c>
      <c r="F565" s="7" t="n">
        <v>1</v>
      </c>
      <c r="G565" s="6" t="n">
        <v>14.68</v>
      </c>
      <c r="H565" s="6" t="n">
        <v>2</v>
      </c>
      <c r="I565" s="6" t="n">
        <v>14.68</v>
      </c>
      <c r="J565" s="6" t="n">
        <v>12.68</v>
      </c>
    </row>
    <row collapsed="false" customFormat="false" customHeight="false" hidden="false" ht="12.1" outlineLevel="0" r="566">
      <c r="A566" s="35" t="n">
        <v>46063</v>
      </c>
      <c r="B566" s="16" t="s">
        <v>1375</v>
      </c>
      <c r="C566" s="16" t="s">
        <v>112</v>
      </c>
      <c r="D566" s="16" t="s">
        <v>113</v>
      </c>
      <c r="E566" s="6" t="n">
        <v>1000</v>
      </c>
      <c r="F566" s="7" t="n">
        <v>19</v>
      </c>
      <c r="G566" s="6" t="n">
        <v>34.9</v>
      </c>
      <c r="H566" s="6" t="n">
        <v>86</v>
      </c>
      <c r="I566" s="6" t="n">
        <v>663.1</v>
      </c>
      <c r="J566" s="6" t="n">
        <v>577.1</v>
      </c>
    </row>
    <row collapsed="false" customFormat="false" customHeight="false" hidden="false" ht="12.1" outlineLevel="0" r="567">
      <c r="A567" s="35" t="n">
        <v>46065</v>
      </c>
      <c r="B567" s="16" t="s">
        <v>1375</v>
      </c>
      <c r="C567" s="16" t="s">
        <v>925</v>
      </c>
      <c r="D567" s="16" t="s">
        <v>1388</v>
      </c>
      <c r="E567" s="6" t="n">
        <v>1000</v>
      </c>
      <c r="F567" s="7" t="n">
        <v>1</v>
      </c>
      <c r="G567" s="6" t="n">
        <v>51.61</v>
      </c>
      <c r="H567" s="6" t="n">
        <v>7</v>
      </c>
      <c r="I567" s="6" t="n">
        <v>51.61</v>
      </c>
      <c r="J567" s="6" t="n">
        <v>44.61</v>
      </c>
    </row>
    <row collapsed="false" customFormat="false" customHeight="false" hidden="false" ht="12.1" outlineLevel="0" r="568">
      <c r="A568" s="35" t="n">
        <v>46065</v>
      </c>
      <c r="B568" s="16" t="s">
        <v>1375</v>
      </c>
      <c r="C568" s="16" t="s">
        <v>160</v>
      </c>
      <c r="D568" s="16" t="s">
        <v>161</v>
      </c>
      <c r="E568" s="6" t="n">
        <v>1000</v>
      </c>
      <c r="F568" s="7" t="n">
        <v>4</v>
      </c>
      <c r="G568" s="6" t="n">
        <v>51.86</v>
      </c>
      <c r="H568" s="6" t="n">
        <v>27</v>
      </c>
      <c r="I568" s="6" t="n">
        <v>207.44</v>
      </c>
      <c r="J568" s="6" t="n">
        <v>180.44</v>
      </c>
    </row>
    <row collapsed="false" customFormat="false" customHeight="false" hidden="false" ht="12.1" outlineLevel="0" r="569">
      <c r="A569" s="35" t="n">
        <v>46068</v>
      </c>
      <c r="B569" s="16" t="s">
        <v>1375</v>
      </c>
      <c r="C569" s="16" t="s">
        <v>246</v>
      </c>
      <c r="D569" s="16" t="s">
        <v>247</v>
      </c>
      <c r="E569" s="6" t="n">
        <v>1000</v>
      </c>
      <c r="F569" s="7" t="n">
        <v>1</v>
      </c>
      <c r="G569" s="6" t="n">
        <v>20.96</v>
      </c>
      <c r="H569" s="6" t="n">
        <v>3</v>
      </c>
      <c r="I569" s="6" t="n">
        <v>20.96</v>
      </c>
      <c r="J569" s="6" t="n">
        <v>17.96</v>
      </c>
    </row>
    <row collapsed="false" customFormat="false" customHeight="false" hidden="false" ht="12.1" outlineLevel="0" r="570">
      <c r="A570" s="35" t="n">
        <v>46069</v>
      </c>
      <c r="B570" s="16" t="s">
        <v>1375</v>
      </c>
      <c r="C570" s="16" t="s">
        <v>323</v>
      </c>
      <c r="D570" s="16" t="s">
        <v>324</v>
      </c>
      <c r="E570" s="6" t="n">
        <v>1000</v>
      </c>
      <c r="F570" s="7" t="n">
        <v>1</v>
      </c>
      <c r="G570" s="6" t="n">
        <v>11.18</v>
      </c>
      <c r="H570" s="6" t="n">
        <v>1</v>
      </c>
      <c r="I570" s="6" t="n">
        <v>11.18</v>
      </c>
      <c r="J570" s="6" t="n">
        <v>10.18</v>
      </c>
    </row>
    <row collapsed="false" customFormat="false" customHeight="false" hidden="false" ht="12.1" outlineLevel="0" r="571">
      <c r="A571" s="35" t="n">
        <v>46071</v>
      </c>
      <c r="B571" s="16" t="s">
        <v>1375</v>
      </c>
      <c r="C571" s="16" t="s">
        <v>331</v>
      </c>
      <c r="D571" s="16" t="s">
        <v>332</v>
      </c>
      <c r="E571" s="6" t="n">
        <v>375</v>
      </c>
      <c r="F571" s="7" t="n">
        <v>1</v>
      </c>
      <c r="G571" s="6" t="n">
        <v>6.5</v>
      </c>
      <c r="H571" s="6" t="n">
        <v>1</v>
      </c>
      <c r="I571" s="6" t="n">
        <v>6.5</v>
      </c>
      <c r="J571" s="6" t="n">
        <v>5.5</v>
      </c>
    </row>
    <row collapsed="false" customFormat="false" customHeight="false" hidden="false" ht="12.1" outlineLevel="0" r="572">
      <c r="A572" s="35" t="n">
        <v>46071</v>
      </c>
      <c r="B572" s="16" t="s">
        <v>1375</v>
      </c>
      <c r="C572" s="16" t="s">
        <v>187</v>
      </c>
      <c r="D572" s="16" t="s">
        <v>188</v>
      </c>
      <c r="E572" s="6" t="n">
        <v>1000</v>
      </c>
      <c r="F572" s="7" t="n">
        <v>2</v>
      </c>
      <c r="G572" s="6" t="n">
        <v>39.87</v>
      </c>
      <c r="H572" s="6" t="n">
        <v>10</v>
      </c>
      <c r="I572" s="6" t="n">
        <v>79.74</v>
      </c>
      <c r="J572" s="6" t="n">
        <v>69.74</v>
      </c>
    </row>
    <row collapsed="false" customFormat="false" customHeight="false" hidden="false" ht="12.1" outlineLevel="0" r="573">
      <c r="A573" s="35" t="n">
        <v>46071</v>
      </c>
      <c r="B573" s="16" t="s">
        <v>1375</v>
      </c>
      <c r="C573" s="16" t="s">
        <v>317</v>
      </c>
      <c r="D573" s="16" t="s">
        <v>318</v>
      </c>
      <c r="E573" s="6" t="n">
        <v>1000</v>
      </c>
      <c r="F573" s="7" t="n">
        <v>1</v>
      </c>
      <c r="G573" s="6" t="n">
        <v>14.48</v>
      </c>
      <c r="H573" s="6" t="n">
        <v>2</v>
      </c>
      <c r="I573" s="6" t="n">
        <v>14.48</v>
      </c>
      <c r="J573" s="6" t="n">
        <v>12.48</v>
      </c>
    </row>
    <row collapsed="false" customFormat="false" customHeight="false" hidden="false" ht="12.1" outlineLevel="0" r="574">
      <c r="A574" s="35" t="n">
        <v>46071</v>
      </c>
      <c r="B574" s="16" t="s">
        <v>1375</v>
      </c>
      <c r="C574" s="16" t="s">
        <v>202</v>
      </c>
      <c r="D574" s="16" t="s">
        <v>203</v>
      </c>
      <c r="E574" s="6" t="n">
        <v>1000</v>
      </c>
      <c r="F574" s="7" t="n">
        <v>2</v>
      </c>
      <c r="G574" s="6" t="n">
        <v>14.05</v>
      </c>
      <c r="H574" s="6" t="n">
        <v>4</v>
      </c>
      <c r="I574" s="6" t="n">
        <v>28.1</v>
      </c>
      <c r="J574" s="6" t="n">
        <v>24.1</v>
      </c>
    </row>
    <row collapsed="false" customFormat="false" customHeight="false" hidden="false" ht="12.1" outlineLevel="0" r="575">
      <c r="A575" s="35" t="n">
        <v>46072</v>
      </c>
      <c r="B575" s="16" t="s">
        <v>1375</v>
      </c>
      <c r="C575" s="16" t="s">
        <v>190</v>
      </c>
      <c r="D575" s="16" t="s">
        <v>191</v>
      </c>
      <c r="E575" s="6" t="n">
        <v>1000</v>
      </c>
      <c r="F575" s="7" t="n">
        <v>2</v>
      </c>
      <c r="G575" s="6" t="n">
        <v>13.77</v>
      </c>
      <c r="H575" s="6" t="n">
        <v>4</v>
      </c>
      <c r="I575" s="6" t="n">
        <v>27.54</v>
      </c>
      <c r="J575" s="6" t="n">
        <v>23.54</v>
      </c>
    </row>
    <row collapsed="false" customFormat="false" customHeight="false" hidden="false" ht="12.1" outlineLevel="0" r="576">
      <c r="A576" s="35" t="n">
        <v>46072</v>
      </c>
      <c r="B576" s="16" t="s">
        <v>1375</v>
      </c>
      <c r="C576" s="16" t="s">
        <v>175</v>
      </c>
      <c r="D576" s="16" t="s">
        <v>176</v>
      </c>
      <c r="E576" s="6" t="n">
        <v>1000</v>
      </c>
      <c r="F576" s="7" t="n">
        <v>3</v>
      </c>
      <c r="G576" s="6" t="n">
        <v>44.88</v>
      </c>
      <c r="H576" s="6" t="n">
        <v>18</v>
      </c>
      <c r="I576" s="6" t="n">
        <v>134.64</v>
      </c>
      <c r="J576" s="6" t="n">
        <v>116.64</v>
      </c>
    </row>
    <row collapsed="false" customFormat="false" customHeight="false" hidden="false" ht="12.1" outlineLevel="0" r="577">
      <c r="A577" s="35" t="n">
        <v>46073</v>
      </c>
      <c r="B577" s="16" t="s">
        <v>1375</v>
      </c>
      <c r="C577" s="16" t="s">
        <v>263</v>
      </c>
      <c r="D577" s="16" t="s">
        <v>264</v>
      </c>
      <c r="E577" s="6" t="n">
        <v>1000</v>
      </c>
      <c r="F577" s="7" t="n">
        <v>1</v>
      </c>
      <c r="G577" s="6" t="n">
        <v>12.66</v>
      </c>
      <c r="H577" s="6" t="n">
        <v>2</v>
      </c>
      <c r="I577" s="6" t="n">
        <v>12.66</v>
      </c>
      <c r="J577" s="6" t="n">
        <v>10.66</v>
      </c>
    </row>
    <row collapsed="false" customFormat="false" customHeight="false" hidden="false" ht="12.1" outlineLevel="0" r="578">
      <c r="A578" s="35" t="n">
        <v>46074</v>
      </c>
      <c r="B578" s="16" t="s">
        <v>1375</v>
      </c>
      <c r="C578" s="16" t="s">
        <v>243</v>
      </c>
      <c r="D578" s="16" t="s">
        <v>244</v>
      </c>
      <c r="E578" s="6" t="n">
        <v>1000</v>
      </c>
      <c r="F578" s="7" t="n">
        <v>1</v>
      </c>
      <c r="G578" s="6" t="n">
        <v>14.79</v>
      </c>
      <c r="H578" s="6" t="n">
        <v>2</v>
      </c>
      <c r="I578" s="6" t="n">
        <v>14.79</v>
      </c>
      <c r="J578" s="6" t="n">
        <v>12.79</v>
      </c>
    </row>
    <row collapsed="false" customFormat="false" customHeight="false" hidden="false" ht="12.1" outlineLevel="0" r="579">
      <c r="A579" s="35" t="n">
        <v>46075</v>
      </c>
      <c r="B579" s="16" t="s">
        <v>1375</v>
      </c>
      <c r="C579" s="16" t="s">
        <v>252</v>
      </c>
      <c r="D579" s="16" t="s">
        <v>253</v>
      </c>
      <c r="E579" s="6" t="n">
        <v>1000</v>
      </c>
      <c r="F579" s="7" t="n">
        <v>1</v>
      </c>
      <c r="G579" s="6" t="n">
        <v>19.48</v>
      </c>
      <c r="H579" s="6" t="n">
        <v>3</v>
      </c>
      <c r="I579" s="6" t="n">
        <v>19.48</v>
      </c>
      <c r="J579" s="6" t="n">
        <v>16.48</v>
      </c>
    </row>
    <row collapsed="false" customFormat="false" customHeight="false" hidden="false" ht="12.1" outlineLevel="0" r="580">
      <c r="A580" s="35" t="n">
        <v>46075</v>
      </c>
      <c r="B580" s="16" t="s">
        <v>1375</v>
      </c>
      <c r="C580" s="16" t="s">
        <v>249</v>
      </c>
      <c r="D580" s="16" t="s">
        <v>250</v>
      </c>
      <c r="E580" s="6" t="n">
        <v>1000</v>
      </c>
      <c r="F580" s="7" t="n">
        <v>1</v>
      </c>
      <c r="G580" s="6" t="n">
        <v>11.42</v>
      </c>
      <c r="H580" s="6" t="n">
        <v>1</v>
      </c>
      <c r="I580" s="6" t="n">
        <v>11.42</v>
      </c>
      <c r="J580" s="6" t="n">
        <v>10.42</v>
      </c>
    </row>
    <row collapsed="false" customFormat="false" customHeight="false" hidden="false" ht="12.1" outlineLevel="0" r="581">
      <c r="A581" s="35" t="n">
        <v>46076</v>
      </c>
      <c r="B581" s="16" t="s">
        <v>1375</v>
      </c>
      <c r="C581" s="16" t="s">
        <v>172</v>
      </c>
      <c r="D581" s="16" t="s">
        <v>173</v>
      </c>
      <c r="E581" s="6" t="n">
        <v>1000</v>
      </c>
      <c r="F581" s="7" t="n">
        <v>3</v>
      </c>
      <c r="G581" s="6" t="n">
        <v>24.93</v>
      </c>
      <c r="H581" s="6" t="n">
        <v>10</v>
      </c>
      <c r="I581" s="6" t="n">
        <v>74.79</v>
      </c>
      <c r="J581" s="6" t="n">
        <v>64.79</v>
      </c>
    </row>
    <row collapsed="false" customFormat="false" customHeight="false" hidden="false" ht="12.1" outlineLevel="0" r="582">
      <c r="A582" s="35" t="n">
        <v>46076</v>
      </c>
      <c r="B582" s="16" t="s">
        <v>1375</v>
      </c>
      <c r="C582" s="16" t="s">
        <v>184</v>
      </c>
      <c r="D582" s="16" t="s">
        <v>185</v>
      </c>
      <c r="E582" s="6" t="n">
        <v>1000</v>
      </c>
      <c r="F582" s="7" t="n">
        <v>2</v>
      </c>
      <c r="G582" s="6" t="n">
        <v>13.68</v>
      </c>
      <c r="H582" s="6" t="n">
        <v>4</v>
      </c>
      <c r="I582" s="6" t="n">
        <v>27.36</v>
      </c>
      <c r="J582" s="6" t="n">
        <v>23.36</v>
      </c>
    </row>
    <row collapsed="false" customFormat="false" customHeight="false" hidden="false" ht="12.1" outlineLevel="0" r="583">
      <c r="A583" s="35"/>
      <c r="B583" s="16"/>
      <c r="C583" s="16"/>
      <c r="D583" s="16"/>
      <c r="E583" s="6"/>
      <c r="F583" s="7"/>
      <c r="G583" s="6"/>
      <c r="H583" s="6"/>
      <c r="I583" s="6"/>
      <c r="J583" s="6"/>
    </row>
    <row collapsed="false" customFormat="false" customHeight="false" hidden="false" ht="12.1" outlineLevel="0" r="584">
      <c r="A584" s="35" t="n">
        <v>46079</v>
      </c>
      <c r="B584" s="16" t="s">
        <v>1375</v>
      </c>
      <c r="C584" s="16" t="s">
        <v>260</v>
      </c>
      <c r="D584" s="16" t="s">
        <v>261</v>
      </c>
      <c r="E584" s="6" t="n">
        <v>1000</v>
      </c>
      <c r="F584" s="7" t="n">
        <v>1</v>
      </c>
      <c r="G584" s="6" t="n">
        <v>24.81</v>
      </c>
      <c r="H584" s="6" t="n">
        <v>3</v>
      </c>
      <c r="I584" s="6" t="n">
        <v>24.81</v>
      </c>
      <c r="J584" s="6" t="n">
        <v>21.81</v>
      </c>
    </row>
    <row collapsed="false" customFormat="false" customHeight="false" hidden="false" ht="12.1" outlineLevel="0" r="585">
      <c r="A585" s="35" t="n">
        <v>46079</v>
      </c>
      <c r="B585" s="16" t="s">
        <v>1375</v>
      </c>
      <c r="C585" s="16" t="s">
        <v>193</v>
      </c>
      <c r="D585" s="16" t="s">
        <v>194</v>
      </c>
      <c r="E585" s="6" t="n">
        <v>1000</v>
      </c>
      <c r="F585" s="7" t="n">
        <v>2</v>
      </c>
      <c r="G585" s="6" t="n">
        <v>12.95</v>
      </c>
      <c r="H585" s="6" t="n">
        <v>3</v>
      </c>
      <c r="I585" s="6" t="n">
        <v>25.9</v>
      </c>
      <c r="J585" s="6" t="n">
        <v>22.9</v>
      </c>
    </row>
    <row collapsed="false" customFormat="false" customHeight="false" hidden="false" ht="12.1" outlineLevel="0" r="586">
      <c r="A586" s="35" t="n">
        <v>46081</v>
      </c>
      <c r="B586" s="16" t="s">
        <v>1375</v>
      </c>
      <c r="C586" s="16" t="s">
        <v>181</v>
      </c>
      <c r="D586" s="16" t="s">
        <v>182</v>
      </c>
      <c r="E586" s="6" t="n">
        <v>1000</v>
      </c>
      <c r="F586" s="7" t="n">
        <v>2</v>
      </c>
      <c r="G586" s="6" t="n">
        <v>13.15</v>
      </c>
      <c r="H586" s="6" t="n">
        <v>3</v>
      </c>
      <c r="I586" s="6" t="n">
        <v>26.3</v>
      </c>
      <c r="J586" s="6" t="n">
        <v>23.3</v>
      </c>
    </row>
    <row collapsed="false" customFormat="false" customHeight="false" hidden="false" ht="12.1" outlineLevel="0" r="587">
      <c r="A587" s="35" t="n">
        <v>46082</v>
      </c>
      <c r="B587" s="16" t="s">
        <v>1375</v>
      </c>
      <c r="C587" s="16" t="s">
        <v>196</v>
      </c>
      <c r="D587" s="16" t="s">
        <v>197</v>
      </c>
      <c r="E587" s="6" t="n">
        <v>1000</v>
      </c>
      <c r="F587" s="7" t="n">
        <v>2</v>
      </c>
      <c r="G587" s="6" t="n">
        <v>19.95</v>
      </c>
      <c r="H587" s="6" t="n">
        <v>5</v>
      </c>
      <c r="I587" s="6" t="n">
        <v>39.9</v>
      </c>
      <c r="J587" s="6" t="n">
        <v>34.9</v>
      </c>
    </row>
    <row collapsed="false" customFormat="false" customHeight="false" hidden="false" ht="12.1" outlineLevel="0" r="588">
      <c r="A588" s="35" t="n">
        <v>46082</v>
      </c>
      <c r="B588" s="16" t="s">
        <v>1375</v>
      </c>
      <c r="C588" s="16" t="s">
        <v>314</v>
      </c>
      <c r="D588" s="16" t="s">
        <v>315</v>
      </c>
      <c r="E588" s="6" t="n">
        <v>1000</v>
      </c>
      <c r="F588" s="7" t="n">
        <v>1</v>
      </c>
      <c r="G588" s="6" t="n">
        <v>25.68</v>
      </c>
      <c r="H588" s="6" t="n">
        <v>3</v>
      </c>
      <c r="I588" s="6" t="n">
        <v>25.68</v>
      </c>
      <c r="J588" s="6" t="n">
        <v>22.68</v>
      </c>
    </row>
    <row collapsed="false" customFormat="false" customHeight="false" hidden="false" ht="12.1" outlineLevel="0" r="589">
      <c r="A589" s="35" t="n">
        <v>46083</v>
      </c>
      <c r="B589" s="16" t="s">
        <v>1375</v>
      </c>
      <c r="C589" s="16" t="s">
        <v>266</v>
      </c>
      <c r="D589" s="16" t="s">
        <v>267</v>
      </c>
      <c r="E589" s="6" t="n">
        <v>1000</v>
      </c>
      <c r="F589" s="7" t="n">
        <v>1</v>
      </c>
      <c r="G589" s="6" t="n">
        <v>29.17</v>
      </c>
      <c r="H589" s="6" t="n">
        <v>4</v>
      </c>
      <c r="I589" s="6" t="n">
        <v>29.17</v>
      </c>
      <c r="J589" s="6" t="n">
        <v>25.17</v>
      </c>
    </row>
    <row collapsed="false" customFormat="false" customHeight="false" hidden="false" ht="12.1" outlineLevel="0" r="590">
      <c r="A590" s="35" t="n">
        <v>46083</v>
      </c>
      <c r="B590" s="16" t="s">
        <v>1375</v>
      </c>
      <c r="C590" s="16" t="s">
        <v>232</v>
      </c>
      <c r="D590" s="16" t="s">
        <v>233</v>
      </c>
      <c r="E590" s="6" t="n">
        <v>1000</v>
      </c>
      <c r="F590" s="7" t="n">
        <v>2</v>
      </c>
      <c r="G590" s="6" t="n">
        <v>1.64</v>
      </c>
      <c r="H590" s="6" t="n">
        <v>0</v>
      </c>
      <c r="I590" s="6" t="n">
        <v>3.28</v>
      </c>
      <c r="J590" s="6" t="n">
        <v>3.28</v>
      </c>
    </row>
    <row collapsed="false" customFormat="false" customHeight="false" hidden="false" ht="12.1" outlineLevel="0" r="591">
      <c r="A591" s="35" t="n">
        <v>46084</v>
      </c>
      <c r="B591" s="16" t="s">
        <v>1375</v>
      </c>
      <c r="C591" s="16" t="s">
        <v>278</v>
      </c>
      <c r="D591" s="16" t="s">
        <v>279</v>
      </c>
      <c r="E591" s="6" t="n">
        <v>1000</v>
      </c>
      <c r="F591" s="7" t="n">
        <v>1</v>
      </c>
      <c r="G591" s="6" t="n">
        <v>14.51</v>
      </c>
      <c r="H591" s="6" t="n">
        <v>2</v>
      </c>
      <c r="I591" s="6" t="n">
        <v>14.51</v>
      </c>
      <c r="J591" s="6" t="n">
        <v>12.51</v>
      </c>
    </row>
    <row collapsed="false" customFormat="false" customHeight="false" hidden="false" ht="12.1" outlineLevel="0" r="592">
      <c r="A592" s="35" t="n">
        <v>46084</v>
      </c>
      <c r="B592" s="16" t="s">
        <v>1375</v>
      </c>
      <c r="C592" s="16" t="s">
        <v>320</v>
      </c>
      <c r="D592" s="16" t="s">
        <v>321</v>
      </c>
      <c r="E592" s="6" t="n">
        <v>1000</v>
      </c>
      <c r="F592" s="7" t="n">
        <v>1</v>
      </c>
      <c r="G592" s="6" t="n">
        <v>19.55</v>
      </c>
      <c r="H592" s="6" t="n">
        <v>3</v>
      </c>
      <c r="I592" s="6" t="n">
        <v>19.55</v>
      </c>
      <c r="J592" s="6" t="n">
        <v>16.55</v>
      </c>
    </row>
    <row collapsed="false" customFormat="false" customHeight="false" hidden="false" ht="12.1" outlineLevel="0" r="593">
      <c r="A593" s="35" t="n">
        <v>46084</v>
      </c>
      <c r="B593" s="16" t="s">
        <v>1375</v>
      </c>
      <c r="C593" s="16" t="s">
        <v>240</v>
      </c>
      <c r="D593" s="16" t="s">
        <v>241</v>
      </c>
      <c r="E593" s="6" t="n">
        <v>1000</v>
      </c>
      <c r="F593" s="7" t="n">
        <v>1</v>
      </c>
      <c r="G593" s="6" t="n">
        <v>106.51</v>
      </c>
      <c r="H593" s="6" t="n">
        <v>14</v>
      </c>
      <c r="I593" s="6" t="n">
        <v>106.51</v>
      </c>
      <c r="J593" s="6" t="n">
        <v>92.51</v>
      </c>
    </row>
    <row collapsed="false" customFormat="false" customHeight="false" hidden="false" ht="12.1" outlineLevel="0" r="594">
      <c r="A594" s="35" t="n">
        <v>46084</v>
      </c>
      <c r="B594" s="16" t="s">
        <v>1375</v>
      </c>
      <c r="C594" s="16" t="s">
        <v>163</v>
      </c>
      <c r="D594" s="16" t="s">
        <v>164</v>
      </c>
      <c r="E594" s="6" t="n">
        <v>1000</v>
      </c>
      <c r="F594" s="7" t="n">
        <v>4</v>
      </c>
      <c r="G594" s="6" t="n">
        <v>44.88</v>
      </c>
      <c r="H594" s="6" t="n">
        <v>23</v>
      </c>
      <c r="I594" s="6" t="n">
        <v>179.52</v>
      </c>
      <c r="J594" s="6" t="n">
        <v>156.52</v>
      </c>
    </row>
    <row collapsed="false" customFormat="false" customHeight="false" hidden="false" ht="12.1" outlineLevel="0" r="595">
      <c r="A595" s="35" t="n">
        <v>46084</v>
      </c>
      <c r="B595" s="16" t="s">
        <v>1375</v>
      </c>
      <c r="C595" s="16" t="s">
        <v>329</v>
      </c>
      <c r="D595" s="16" t="s">
        <v>330</v>
      </c>
      <c r="E595" s="6" t="n">
        <v>1000</v>
      </c>
      <c r="F595" s="7" t="n">
        <v>1</v>
      </c>
      <c r="G595" s="6" t="n">
        <v>19.87</v>
      </c>
      <c r="H595" s="6" t="n">
        <v>3</v>
      </c>
      <c r="I595" s="6" t="n">
        <v>19.87</v>
      </c>
      <c r="J595" s="6" t="n">
        <v>16.87</v>
      </c>
    </row>
    <row collapsed="false" customFormat="false" customHeight="false" hidden="false" ht="12.1" outlineLevel="0" r="596">
      <c r="A596" s="35" t="n">
        <v>46084</v>
      </c>
      <c r="B596" s="16" t="s">
        <v>1375</v>
      </c>
      <c r="C596" s="16" t="s">
        <v>234</v>
      </c>
      <c r="D596" s="16" t="s">
        <v>235</v>
      </c>
      <c r="E596" s="6" t="n">
        <v>1000</v>
      </c>
      <c r="F596" s="7" t="n">
        <v>1</v>
      </c>
      <c r="G596" s="6" t="n">
        <v>19.11</v>
      </c>
      <c r="H596" s="6" t="n">
        <v>2</v>
      </c>
      <c r="I596" s="6" t="n">
        <v>19.11</v>
      </c>
      <c r="J596" s="6" t="n">
        <v>17.11</v>
      </c>
    </row>
    <row collapsed="false" customFormat="false" customHeight="false" hidden="false" ht="12.1" outlineLevel="0" r="597">
      <c r="A597" s="35" t="n">
        <v>46085</v>
      </c>
      <c r="B597" s="16" t="s">
        <v>1375</v>
      </c>
      <c r="C597" s="16" t="s">
        <v>281</v>
      </c>
      <c r="D597" s="16" t="s">
        <v>282</v>
      </c>
      <c r="E597" s="6" t="n">
        <v>1000</v>
      </c>
      <c r="F597" s="7" t="n">
        <v>1</v>
      </c>
      <c r="G597" s="6" t="n">
        <v>35.53</v>
      </c>
      <c r="H597" s="6" t="n">
        <v>5</v>
      </c>
      <c r="I597" s="6" t="n">
        <v>35.53</v>
      </c>
      <c r="J597" s="6" t="n">
        <v>30.53</v>
      </c>
    </row>
    <row collapsed="false" customFormat="false" customHeight="false" hidden="false" ht="12.1" outlineLevel="0" r="598">
      <c r="A598" s="35" t="n">
        <v>46087</v>
      </c>
      <c r="B598" s="16" t="s">
        <v>1375</v>
      </c>
      <c r="C598" s="16" t="s">
        <v>199</v>
      </c>
      <c r="D598" s="16" t="s">
        <v>200</v>
      </c>
      <c r="E598" s="6" t="n">
        <v>1000</v>
      </c>
      <c r="F598" s="7" t="n">
        <v>2</v>
      </c>
      <c r="G598" s="6" t="n">
        <v>14.66</v>
      </c>
      <c r="H598" s="6" t="n">
        <v>4</v>
      </c>
      <c r="I598" s="6" t="n">
        <v>29.32</v>
      </c>
      <c r="J598" s="6" t="n">
        <v>25.32</v>
      </c>
    </row>
    <row collapsed="false" customFormat="false" customHeight="false" hidden="false" ht="12.1" outlineLevel="0" r="599">
      <c r="A599" s="35" t="n">
        <v>46092</v>
      </c>
      <c r="B599" s="16" t="s">
        <v>1375</v>
      </c>
      <c r="C599" s="16" t="s">
        <v>254</v>
      </c>
      <c r="D599" s="16" t="s">
        <v>255</v>
      </c>
      <c r="E599" s="6" t="n">
        <v>1000</v>
      </c>
      <c r="F599" s="7" t="n">
        <v>1</v>
      </c>
      <c r="G599" s="6" t="n">
        <v>11.38</v>
      </c>
      <c r="H599" s="6" t="n">
        <v>1</v>
      </c>
      <c r="I599" s="6" t="n">
        <v>11.38</v>
      </c>
      <c r="J599" s="6" t="n">
        <v>10.38</v>
      </c>
    </row>
    <row collapsed="false" customFormat="false" customHeight="false" hidden="false" ht="12.1" outlineLevel="0" r="600">
      <c r="A600" s="35" t="n">
        <v>46093</v>
      </c>
      <c r="B600" s="16" t="s">
        <v>1375</v>
      </c>
      <c r="C600" s="16" t="s">
        <v>229</v>
      </c>
      <c r="D600" s="16" t="s">
        <v>230</v>
      </c>
      <c r="E600" s="6" t="n">
        <v>1000</v>
      </c>
      <c r="F600" s="7" t="n">
        <v>2</v>
      </c>
      <c r="G600" s="6" t="n">
        <v>17.83</v>
      </c>
      <c r="H600" s="6" t="n">
        <v>5</v>
      </c>
      <c r="I600" s="6" t="n">
        <v>35.66</v>
      </c>
      <c r="J600" s="6" t="n">
        <v>30.66</v>
      </c>
    </row>
    <row collapsed="false" customFormat="false" customHeight="false" hidden="false" ht="12.1" outlineLevel="0" r="601">
      <c r="A601" s="35" t="n">
        <v>46093</v>
      </c>
      <c r="B601" s="16" t="s">
        <v>1375</v>
      </c>
      <c r="C601" s="16" t="s">
        <v>257</v>
      </c>
      <c r="D601" s="16" t="s">
        <v>258</v>
      </c>
      <c r="E601" s="6" t="n">
        <v>1000</v>
      </c>
      <c r="F601" s="7" t="n">
        <v>1</v>
      </c>
      <c r="G601" s="6" t="n">
        <v>14.48</v>
      </c>
      <c r="H601" s="6" t="n">
        <v>2</v>
      </c>
      <c r="I601" s="6" t="n">
        <v>14.48</v>
      </c>
      <c r="J601" s="6" t="n">
        <v>12.48</v>
      </c>
    </row>
    <row collapsed="false" customFormat="false" customHeight="false" hidden="false" ht="12.1" outlineLevel="0" r="602">
      <c r="A602" s="35" t="n">
        <v>46097</v>
      </c>
      <c r="B602" s="16" t="s">
        <v>1375</v>
      </c>
      <c r="C602" s="16" t="s">
        <v>275</v>
      </c>
      <c r="D602" s="16" t="s">
        <v>276</v>
      </c>
      <c r="E602" s="6" t="n">
        <v>1000</v>
      </c>
      <c r="F602" s="7" t="n">
        <v>1</v>
      </c>
      <c r="G602" s="6" t="n">
        <v>39.39</v>
      </c>
      <c r="H602" s="6" t="n">
        <v>5</v>
      </c>
      <c r="I602" s="6" t="n">
        <v>39.39</v>
      </c>
      <c r="J602" s="6" t="n">
        <v>34.39</v>
      </c>
    </row>
    <row collapsed="false" customFormat="false" customHeight="false" hidden="false" ht="12.1" outlineLevel="0" r="603">
      <c r="A603" s="35" t="n">
        <v>46098</v>
      </c>
      <c r="B603" s="16" t="s">
        <v>1375</v>
      </c>
      <c r="C603" s="16" t="s">
        <v>103</v>
      </c>
      <c r="D603" s="16" t="s">
        <v>104</v>
      </c>
      <c r="E603" s="6" t="n">
        <v>1000</v>
      </c>
      <c r="F603" s="7" t="n">
        <v>17</v>
      </c>
      <c r="G603" s="6" t="n">
        <v>29.42</v>
      </c>
      <c r="H603" s="6" t="n">
        <v>65</v>
      </c>
      <c r="I603" s="6" t="n">
        <v>500.14</v>
      </c>
      <c r="J603" s="6" t="n">
        <v>435.14</v>
      </c>
    </row>
    <row collapsed="false" customFormat="false" customHeight="false" hidden="false" ht="12.1" outlineLevel="0" r="604">
      <c r="A604" s="35" t="n">
        <v>46098</v>
      </c>
      <c r="B604" s="16" t="s">
        <v>1375</v>
      </c>
      <c r="C604" s="16" t="s">
        <v>246</v>
      </c>
      <c r="D604" s="16" t="s">
        <v>247</v>
      </c>
      <c r="E604" s="6" t="n">
        <v>1000</v>
      </c>
      <c r="F604" s="7" t="n">
        <v>1</v>
      </c>
      <c r="G604" s="6" t="n">
        <v>20.96</v>
      </c>
      <c r="H604" s="6" t="n">
        <v>3</v>
      </c>
      <c r="I604" s="6" t="n">
        <v>20.96</v>
      </c>
      <c r="J604" s="6" t="n">
        <v>17.96</v>
      </c>
    </row>
    <row collapsed="false" customFormat="false" customHeight="false" hidden="false" ht="12.1" outlineLevel="0" r="605">
      <c r="A605" s="35" t="n">
        <v>46099</v>
      </c>
      <c r="B605" s="16" t="s">
        <v>1375</v>
      </c>
      <c r="C605" s="16" t="s">
        <v>323</v>
      </c>
      <c r="D605" s="16" t="s">
        <v>324</v>
      </c>
      <c r="E605" s="6" t="n">
        <v>1000</v>
      </c>
      <c r="F605" s="7" t="n">
        <v>1</v>
      </c>
      <c r="G605" s="6" t="n">
        <v>11.18</v>
      </c>
      <c r="H605" s="6" t="n">
        <v>1</v>
      </c>
      <c r="I605" s="6" t="n">
        <v>11.18</v>
      </c>
      <c r="J605" s="6" t="n">
        <v>10.18</v>
      </c>
    </row>
    <row collapsed="false" customFormat="false" customHeight="false" hidden="false" ht="12.1" outlineLevel="0" r="606">
      <c r="A606" s="35" t="n">
        <v>46101</v>
      </c>
      <c r="B606" s="16" t="s">
        <v>1375</v>
      </c>
      <c r="C606" s="16" t="s">
        <v>202</v>
      </c>
      <c r="D606" s="16" t="s">
        <v>203</v>
      </c>
      <c r="E606" s="6" t="n">
        <v>1000</v>
      </c>
      <c r="F606" s="7" t="n">
        <v>2</v>
      </c>
      <c r="G606" s="6" t="n">
        <v>13.64</v>
      </c>
      <c r="H606" s="6" t="n">
        <v>4</v>
      </c>
      <c r="I606" s="6" t="n">
        <v>27.28</v>
      </c>
      <c r="J606" s="6" t="n">
        <v>23.28</v>
      </c>
    </row>
    <row collapsed="false" customFormat="false" customHeight="false" hidden="false" ht="12.1" outlineLevel="0" r="607">
      <c r="A607" s="35" t="n">
        <v>46102</v>
      </c>
      <c r="B607" s="16" t="s">
        <v>1375</v>
      </c>
      <c r="C607" s="16" t="s">
        <v>190</v>
      </c>
      <c r="D607" s="16" t="s">
        <v>191</v>
      </c>
      <c r="E607" s="6" t="n">
        <v>1000</v>
      </c>
      <c r="F607" s="7" t="n">
        <v>2</v>
      </c>
      <c r="G607" s="6" t="n">
        <v>13.77</v>
      </c>
      <c r="H607" s="6" t="n">
        <v>4</v>
      </c>
      <c r="I607" s="6" t="n">
        <v>27.54</v>
      </c>
      <c r="J607" s="6" t="n">
        <v>23.54</v>
      </c>
    </row>
    <row collapsed="false" customFormat="false" customHeight="false" hidden="false" ht="12.1" outlineLevel="0" r="608">
      <c r="A608" s="35" t="n">
        <v>46102</v>
      </c>
      <c r="B608" s="16" t="s">
        <v>1375</v>
      </c>
      <c r="C608" s="16" t="s">
        <v>317</v>
      </c>
      <c r="D608" s="16" t="s">
        <v>318</v>
      </c>
      <c r="E608" s="6" t="n">
        <v>1000</v>
      </c>
      <c r="F608" s="7" t="n">
        <v>1</v>
      </c>
      <c r="G608" s="6" t="n">
        <v>14.28</v>
      </c>
      <c r="H608" s="6" t="n">
        <v>2</v>
      </c>
      <c r="I608" s="6" t="n">
        <v>14.28</v>
      </c>
      <c r="J608" s="6" t="n">
        <v>12.28</v>
      </c>
    </row>
    <row collapsed="false" customFormat="false" customHeight="false" hidden="false" ht="12.1" outlineLevel="0" r="609">
      <c r="A609" s="35" t="n">
        <v>46103</v>
      </c>
      <c r="B609" s="16" t="s">
        <v>1375</v>
      </c>
      <c r="C609" s="16" t="s">
        <v>220</v>
      </c>
      <c r="D609" s="16" t="s">
        <v>221</v>
      </c>
      <c r="E609" s="6" t="n">
        <v>1000</v>
      </c>
      <c r="F609" s="7" t="n">
        <v>2</v>
      </c>
      <c r="G609" s="6" t="n">
        <v>45.38</v>
      </c>
      <c r="H609" s="6" t="n">
        <v>12</v>
      </c>
      <c r="I609" s="6" t="n">
        <v>90.76</v>
      </c>
      <c r="J609" s="6" t="n">
        <v>78.76</v>
      </c>
    </row>
    <row collapsed="false" customFormat="false" customHeight="false" hidden="false" ht="12.1" outlineLevel="0" r="610">
      <c r="A610" s="35" t="n">
        <v>46103</v>
      </c>
      <c r="B610" s="16" t="s">
        <v>1375</v>
      </c>
      <c r="C610" s="16" t="s">
        <v>263</v>
      </c>
      <c r="D610" s="16" t="s">
        <v>264</v>
      </c>
      <c r="E610" s="6" t="n">
        <v>1000</v>
      </c>
      <c r="F610" s="7" t="n">
        <v>1</v>
      </c>
      <c r="G610" s="6" t="n">
        <v>12.66</v>
      </c>
      <c r="H610" s="6" t="n">
        <v>2</v>
      </c>
      <c r="I610" s="6" t="n">
        <v>12.66</v>
      </c>
      <c r="J610" s="6" t="n">
        <v>10.66</v>
      </c>
    </row>
    <row collapsed="false" customFormat="false" customHeight="false" hidden="false" ht="12.1" outlineLevel="0" r="611">
      <c r="A611" s="35" t="n">
        <v>46104</v>
      </c>
      <c r="B611" s="16" t="s">
        <v>1375</v>
      </c>
      <c r="C611" s="16" t="s">
        <v>243</v>
      </c>
      <c r="D611" s="16" t="s">
        <v>244</v>
      </c>
      <c r="E611" s="6" t="n">
        <v>1000</v>
      </c>
      <c r="F611" s="7" t="n">
        <v>1</v>
      </c>
      <c r="G611" s="6" t="n">
        <v>14.79</v>
      </c>
      <c r="H611" s="6" t="n">
        <v>2</v>
      </c>
      <c r="I611" s="6" t="n">
        <v>14.79</v>
      </c>
      <c r="J611" s="6" t="n">
        <v>12.79</v>
      </c>
    </row>
    <row collapsed="false" customFormat="false" customHeight="false" hidden="false" ht="12.1" outlineLevel="0" r="612">
      <c r="A612" s="35" t="n">
        <v>46105</v>
      </c>
      <c r="B612" s="16" t="s">
        <v>1375</v>
      </c>
      <c r="C612" s="16" t="s">
        <v>249</v>
      </c>
      <c r="D612" s="16" t="s">
        <v>250</v>
      </c>
      <c r="E612" s="6" t="n">
        <v>1000</v>
      </c>
      <c r="F612" s="7" t="n">
        <v>1</v>
      </c>
      <c r="G612" s="6" t="n">
        <v>11.42</v>
      </c>
      <c r="H612" s="6" t="n">
        <v>1</v>
      </c>
      <c r="I612" s="6" t="n">
        <v>11.42</v>
      </c>
      <c r="J612" s="6" t="n">
        <v>10.42</v>
      </c>
    </row>
    <row collapsed="false" customFormat="false" customHeight="false" hidden="false" ht="12.1" outlineLevel="0" r="613">
      <c r="A613" s="35" t="n">
        <v>46105</v>
      </c>
      <c r="B613" s="16" t="s">
        <v>1375</v>
      </c>
      <c r="C613" s="16" t="s">
        <v>97</v>
      </c>
      <c r="D613" s="16" t="s">
        <v>98</v>
      </c>
      <c r="E613" s="6" t="n">
        <v>1000</v>
      </c>
      <c r="F613" s="7" t="n">
        <v>14</v>
      </c>
      <c r="G613" s="6" t="n">
        <v>59.84</v>
      </c>
      <c r="H613" s="6" t="n">
        <v>109</v>
      </c>
      <c r="I613" s="6" t="n">
        <v>837.76</v>
      </c>
      <c r="J613" s="6" t="n">
        <v>728.76</v>
      </c>
    </row>
    <row collapsed="false" customFormat="false" customHeight="false" hidden="false" ht="12.1" outlineLevel="0" r="614">
      <c r="A614" s="35" t="n">
        <v>46105</v>
      </c>
      <c r="B614" s="16" t="s">
        <v>1375</v>
      </c>
      <c r="C614" s="16" t="s">
        <v>130</v>
      </c>
      <c r="D614" s="16" t="s">
        <v>131</v>
      </c>
      <c r="E614" s="6" t="n">
        <v>1000</v>
      </c>
      <c r="F614" s="7" t="n">
        <v>11</v>
      </c>
      <c r="G614" s="6" t="n">
        <v>56.1</v>
      </c>
      <c r="H614" s="6" t="n">
        <v>80</v>
      </c>
      <c r="I614" s="6" t="n">
        <v>617.1</v>
      </c>
      <c r="J614" s="6" t="n">
        <v>537.1</v>
      </c>
    </row>
    <row collapsed="false" customFormat="false" customHeight="false" hidden="false" ht="12.1" outlineLevel="0" r="615">
      <c r="A615" s="35" t="n">
        <v>46105</v>
      </c>
      <c r="B615" s="16" t="s">
        <v>1375</v>
      </c>
      <c r="C615" s="16" t="s">
        <v>157</v>
      </c>
      <c r="D615" s="16" t="s">
        <v>158</v>
      </c>
      <c r="E615" s="6" t="n">
        <v>1448.61</v>
      </c>
      <c r="F615" s="7" t="n">
        <v>4</v>
      </c>
      <c r="G615" s="6" t="n">
        <v>18.12</v>
      </c>
      <c r="H615" s="6" t="n">
        <v>9</v>
      </c>
      <c r="I615" s="6" t="n">
        <v>72.48</v>
      </c>
      <c r="J615" s="6" t="n">
        <v>63.48</v>
      </c>
    </row>
    <row collapsed="false" customFormat="false" customHeight="false" hidden="false" ht="12.1" outlineLevel="0" r="616">
      <c r="A616" s="35" t="n">
        <v>46105</v>
      </c>
      <c r="B616" s="16" t="s">
        <v>1375</v>
      </c>
      <c r="C616" s="16" t="s">
        <v>252</v>
      </c>
      <c r="D616" s="16" t="s">
        <v>253</v>
      </c>
      <c r="E616" s="6" t="n">
        <v>1000</v>
      </c>
      <c r="F616" s="7" t="n">
        <v>1</v>
      </c>
      <c r="G616" s="6" t="n">
        <v>19.48</v>
      </c>
      <c r="H616" s="6" t="n">
        <v>3</v>
      </c>
      <c r="I616" s="6" t="n">
        <v>19.48</v>
      </c>
      <c r="J616" s="6" t="n">
        <v>16.48</v>
      </c>
    </row>
    <row collapsed="false" customFormat="false" customHeight="false" hidden="false" ht="12.1" outlineLevel="0" r="617">
      <c r="A617" s="35" t="n">
        <v>46105</v>
      </c>
      <c r="B617" s="16" t="s">
        <v>1375</v>
      </c>
      <c r="C617" s="16" t="s">
        <v>133</v>
      </c>
      <c r="D617" s="16" t="s">
        <v>134</v>
      </c>
      <c r="E617" s="6" t="n">
        <v>1000</v>
      </c>
      <c r="F617" s="7" t="n">
        <v>12</v>
      </c>
      <c r="G617" s="6" t="n">
        <v>42.38</v>
      </c>
      <c r="H617" s="6" t="n">
        <v>66</v>
      </c>
      <c r="I617" s="6" t="n">
        <v>508.56</v>
      </c>
      <c r="J617" s="6" t="n">
        <v>442.56</v>
      </c>
    </row>
    <row collapsed="false" customFormat="false" customHeight="false" hidden="false" ht="12.1" outlineLevel="0" r="618">
      <c r="A618" s="35" t="n">
        <v>46106</v>
      </c>
      <c r="B618" s="16" t="s">
        <v>1375</v>
      </c>
      <c r="C618" s="16" t="s">
        <v>184</v>
      </c>
      <c r="D618" s="16" t="s">
        <v>185</v>
      </c>
      <c r="E618" s="6" t="n">
        <v>1000</v>
      </c>
      <c r="F618" s="7" t="n">
        <v>2</v>
      </c>
      <c r="G618" s="6" t="n">
        <v>13.68</v>
      </c>
      <c r="H618" s="6" t="n">
        <v>4</v>
      </c>
      <c r="I618" s="6" t="n">
        <v>27.36</v>
      </c>
      <c r="J618" s="6" t="n">
        <v>23.36</v>
      </c>
    </row>
    <row collapsed="false" customFormat="false" customHeight="false" hidden="false" ht="12.1" outlineLevel="0" r="619">
      <c r="A619" s="35" t="n">
        <v>46107</v>
      </c>
      <c r="B619" s="16" t="s">
        <v>1375</v>
      </c>
      <c r="C619" s="16" t="s">
        <v>269</v>
      </c>
      <c r="D619" s="16" t="s">
        <v>270</v>
      </c>
      <c r="E619" s="6" t="n">
        <v>1000</v>
      </c>
      <c r="F619" s="7" t="n">
        <v>1</v>
      </c>
      <c r="G619" s="6" t="n">
        <v>52.36</v>
      </c>
      <c r="H619" s="6" t="n">
        <v>7</v>
      </c>
      <c r="I619" s="6" t="n">
        <v>52.36</v>
      </c>
      <c r="J619" s="6" t="n">
        <v>45.36</v>
      </c>
    </row>
    <row collapsed="false" customFormat="false" customHeight="false" hidden="false" ht="12.1" outlineLevel="0" r="620">
      <c r="A620" s="35" t="n">
        <v>46109</v>
      </c>
      <c r="B620" s="16" t="s">
        <v>1375</v>
      </c>
      <c r="C620" s="16" t="s">
        <v>193</v>
      </c>
      <c r="D620" s="16" t="s">
        <v>194</v>
      </c>
      <c r="E620" s="6" t="n">
        <v>1000</v>
      </c>
      <c r="F620" s="7" t="n">
        <v>2</v>
      </c>
      <c r="G620" s="6" t="n">
        <v>12.95</v>
      </c>
      <c r="H620" s="6" t="n">
        <v>3</v>
      </c>
      <c r="I620" s="6" t="n">
        <v>25.9</v>
      </c>
      <c r="J620" s="6" t="n">
        <v>22.9</v>
      </c>
    </row>
    <row collapsed="false" customFormat="false" customHeight="false" hidden="false" ht="12.1" outlineLevel="0" r="621">
      <c r="A621" s="35" t="n">
        <v>46111</v>
      </c>
      <c r="B621" s="16" t="s">
        <v>1375</v>
      </c>
      <c r="C621" s="16" t="s">
        <v>181</v>
      </c>
      <c r="D621" s="16" t="s">
        <v>182</v>
      </c>
      <c r="E621" s="6" t="n">
        <v>1000</v>
      </c>
      <c r="F621" s="7" t="n">
        <v>2</v>
      </c>
      <c r="G621" s="6" t="n">
        <v>13.15</v>
      </c>
      <c r="H621" s="6" t="n">
        <v>3</v>
      </c>
      <c r="I621" s="6" t="n">
        <v>26.3</v>
      </c>
      <c r="J621" s="6" t="n">
        <v>23.3</v>
      </c>
    </row>
    <row collapsed="false" customFormat="false" customHeight="false" hidden="false" ht="12.1" outlineLevel="0" r="622">
      <c r="A622" s="35" t="n">
        <v>46112</v>
      </c>
      <c r="B622" s="16" t="s">
        <v>1375</v>
      </c>
      <c r="C622" s="16" t="s">
        <v>106</v>
      </c>
      <c r="D622" s="16" t="s">
        <v>107</v>
      </c>
      <c r="E622" s="6" t="n">
        <v>1000</v>
      </c>
      <c r="F622" s="7" t="n">
        <v>18</v>
      </c>
      <c r="G622" s="6" t="n">
        <v>38.39</v>
      </c>
      <c r="H622" s="6" t="n">
        <v>90</v>
      </c>
      <c r="I622" s="6" t="n">
        <v>691.02</v>
      </c>
      <c r="J622" s="6" t="n">
        <v>601.02</v>
      </c>
    </row>
    <row collapsed="false" customFormat="false" customHeight="false" hidden="false" ht="12.1" outlineLevel="0" r="623">
      <c r="A623" s="35" t="n">
        <v>46112</v>
      </c>
      <c r="B623" s="16" t="s">
        <v>1375</v>
      </c>
      <c r="C623" s="16" t="s">
        <v>127</v>
      </c>
      <c r="D623" s="16" t="s">
        <v>128</v>
      </c>
      <c r="E623" s="6" t="n">
        <v>1000</v>
      </c>
      <c r="F623" s="7" t="n">
        <v>14</v>
      </c>
      <c r="G623" s="6" t="n">
        <v>38.39</v>
      </c>
      <c r="H623" s="6" t="n">
        <v>70</v>
      </c>
      <c r="I623" s="6" t="n">
        <v>537.46</v>
      </c>
      <c r="J623" s="6" t="n">
        <v>467.46</v>
      </c>
    </row>
    <row collapsed="false" customFormat="false" customHeight="false" hidden="false" ht="12.1" outlineLevel="0" r="624">
      <c r="A624" s="35" t="n">
        <v>46113</v>
      </c>
      <c r="B624" s="16" t="s">
        <v>1375</v>
      </c>
      <c r="C624" s="16" t="s">
        <v>232</v>
      </c>
      <c r="D624" s="16" t="s">
        <v>233</v>
      </c>
      <c r="E624" s="6" t="n">
        <v>1000</v>
      </c>
      <c r="F624" s="7" t="n">
        <v>2</v>
      </c>
      <c r="G624" s="6" t="n">
        <v>1.64</v>
      </c>
      <c r="H624" s="6" t="n">
        <v>0</v>
      </c>
      <c r="I624" s="6" t="n">
        <v>3.28</v>
      </c>
      <c r="J624" s="6" t="n">
        <v>3.28</v>
      </c>
    </row>
    <row collapsed="false" customFormat="false" customHeight="false" hidden="false" ht="12.1" outlineLevel="0" r="625">
      <c r="A625" s="35" t="n">
        <v>46114</v>
      </c>
      <c r="B625" s="16" t="s">
        <v>1375</v>
      </c>
      <c r="C625" s="16" t="s">
        <v>234</v>
      </c>
      <c r="D625" s="16" t="s">
        <v>235</v>
      </c>
      <c r="E625" s="6" t="n">
        <v>1000</v>
      </c>
      <c r="F625" s="7" t="n">
        <v>1</v>
      </c>
      <c r="G625" s="6" t="n">
        <v>19.11</v>
      </c>
      <c r="H625" s="6" t="n">
        <v>2</v>
      </c>
      <c r="I625" s="6" t="n">
        <v>19.11</v>
      </c>
      <c r="J625" s="6" t="n">
        <v>17.11</v>
      </c>
    </row>
    <row collapsed="false" customFormat="false" customHeight="false" hidden="false" ht="12.1" outlineLevel="0" r="626">
      <c r="A626" s="35" t="n">
        <v>46115</v>
      </c>
      <c r="B626" s="16" t="s">
        <v>1375</v>
      </c>
      <c r="C626" s="16" t="s">
        <v>278</v>
      </c>
      <c r="D626" s="16" t="s">
        <v>279</v>
      </c>
      <c r="E626" s="6" t="n">
        <v>1000</v>
      </c>
      <c r="F626" s="7" t="n">
        <v>1</v>
      </c>
      <c r="G626" s="6" t="n">
        <v>14.51</v>
      </c>
      <c r="H626" s="6" t="n">
        <v>2</v>
      </c>
      <c r="I626" s="6" t="n">
        <v>14.51</v>
      </c>
      <c r="J626" s="6" t="n">
        <v>12.51</v>
      </c>
    </row>
    <row collapsed="false" customFormat="false" customHeight="false" hidden="false" ht="12.1" outlineLevel="0" r="627">
      <c r="A627" s="35" t="n">
        <v>46118</v>
      </c>
      <c r="B627" s="16" t="s">
        <v>1375</v>
      </c>
      <c r="C627" s="16" t="s">
        <v>199</v>
      </c>
      <c r="D627" s="16" t="s">
        <v>200</v>
      </c>
      <c r="E627" s="6" t="n">
        <v>1000</v>
      </c>
      <c r="F627" s="7" t="n">
        <v>2</v>
      </c>
      <c r="G627" s="6" t="n">
        <v>14.66</v>
      </c>
      <c r="H627" s="6" t="n">
        <v>4</v>
      </c>
      <c r="I627" s="6" t="n">
        <v>29.32</v>
      </c>
      <c r="J627" s="6" t="n">
        <v>25.32</v>
      </c>
    </row>
    <row collapsed="false" customFormat="false" customHeight="false" hidden="false" ht="12.1" outlineLevel="0" r="628">
      <c r="A628" s="35" t="n">
        <v>46119</v>
      </c>
      <c r="B628" s="16" t="s">
        <v>1375</v>
      </c>
      <c r="C628" s="16" t="s">
        <v>121</v>
      </c>
      <c r="D628" s="16" t="s">
        <v>122</v>
      </c>
      <c r="E628" s="6" t="n">
        <v>1000</v>
      </c>
      <c r="F628" s="7" t="n">
        <v>12</v>
      </c>
      <c r="G628" s="6" t="n">
        <v>59.84</v>
      </c>
      <c r="H628" s="6" t="n">
        <v>93</v>
      </c>
      <c r="I628" s="6" t="n">
        <v>718.08</v>
      </c>
      <c r="J628" s="6" t="n">
        <v>625.08</v>
      </c>
    </row>
    <row collapsed="false" customFormat="false" customHeight="false" hidden="false" ht="12.1" outlineLevel="0" r="629">
      <c r="A629" s="35" t="n">
        <v>46119</v>
      </c>
      <c r="B629" s="16" t="s">
        <v>1375</v>
      </c>
      <c r="C629" s="16" t="s">
        <v>142</v>
      </c>
      <c r="D629" s="16" t="s">
        <v>143</v>
      </c>
      <c r="E629" s="6" t="n">
        <v>1000</v>
      </c>
      <c r="F629" s="7" t="n">
        <v>5</v>
      </c>
      <c r="G629" s="6" t="n">
        <v>102.92</v>
      </c>
      <c r="H629" s="6" t="n">
        <v>67</v>
      </c>
      <c r="I629" s="6" t="n">
        <v>514.6</v>
      </c>
      <c r="J629" s="6" t="n">
        <v>447.6</v>
      </c>
    </row>
    <row collapsed="false" customFormat="false" customHeight="false" hidden="false" ht="12.1" outlineLevel="0" r="630">
      <c r="A630" s="35" t="n">
        <v>46122</v>
      </c>
      <c r="B630" s="16" t="s">
        <v>1375</v>
      </c>
      <c r="C630" s="16" t="s">
        <v>254</v>
      </c>
      <c r="D630" s="16" t="s">
        <v>255</v>
      </c>
      <c r="E630" s="6" t="n">
        <v>1000</v>
      </c>
      <c r="F630" s="7" t="n">
        <v>1</v>
      </c>
      <c r="G630" s="6" t="n">
        <v>11.38</v>
      </c>
      <c r="H630" s="6" t="n">
        <v>1</v>
      </c>
      <c r="I630" s="6" t="n">
        <v>11.38</v>
      </c>
      <c r="J630" s="6" t="n">
        <v>10.38</v>
      </c>
    </row>
    <row collapsed="false" customFormat="false" customHeight="false" hidden="false" ht="12.1" outlineLevel="0" r="631">
      <c r="A631" s="35" t="n">
        <v>46124</v>
      </c>
      <c r="B631" s="16" t="s">
        <v>1375</v>
      </c>
      <c r="C631" s="16" t="s">
        <v>257</v>
      </c>
      <c r="D631" s="16" t="s">
        <v>258</v>
      </c>
      <c r="E631" s="6" t="n">
        <v>1000</v>
      </c>
      <c r="F631" s="7" t="n">
        <v>1</v>
      </c>
      <c r="G631" s="6" t="n">
        <v>14.48</v>
      </c>
      <c r="H631" s="6" t="n">
        <v>2</v>
      </c>
      <c r="I631" s="6" t="n">
        <v>14.48</v>
      </c>
      <c r="J631" s="6" t="n">
        <v>12.48</v>
      </c>
    </row>
    <row collapsed="false" customFormat="false" customHeight="false" hidden="false" ht="12.1" outlineLevel="0" r="632">
      <c r="A632" s="35" t="n">
        <v>46125</v>
      </c>
      <c r="B632" s="16" t="s">
        <v>1375</v>
      </c>
      <c r="C632" s="16" t="s">
        <v>217</v>
      </c>
      <c r="D632" s="16" t="s">
        <v>218</v>
      </c>
      <c r="E632" s="6" t="n">
        <v>1000</v>
      </c>
      <c r="F632" s="7" t="n">
        <v>2</v>
      </c>
      <c r="G632" s="6" t="n">
        <v>24.93</v>
      </c>
      <c r="H632" s="6" t="n">
        <v>6</v>
      </c>
      <c r="I632" s="6" t="n">
        <v>49.86</v>
      </c>
      <c r="J632" s="6" t="n">
        <v>43.86</v>
      </c>
    </row>
    <row collapsed="false" customFormat="false" customHeight="false" hidden="false" ht="12.1" outlineLevel="0" r="633">
      <c r="A633" s="35" t="n">
        <v>46126</v>
      </c>
      <c r="B633" s="16" t="s">
        <v>1375</v>
      </c>
      <c r="C633" s="16" t="s">
        <v>124</v>
      </c>
      <c r="D633" s="16" t="s">
        <v>125</v>
      </c>
      <c r="E633" s="6" t="n">
        <v>1000</v>
      </c>
      <c r="F633" s="7" t="n">
        <v>13</v>
      </c>
      <c r="G633" s="6" t="n">
        <v>38.15</v>
      </c>
      <c r="H633" s="6" t="n">
        <v>64</v>
      </c>
      <c r="I633" s="6" t="n">
        <v>495.95</v>
      </c>
      <c r="J633" s="6" t="n">
        <v>431.95</v>
      </c>
    </row>
    <row collapsed="false" customFormat="false" customHeight="false" hidden="false" ht="12.1" outlineLevel="0" r="634">
      <c r="A634" s="35" t="n">
        <v>46126</v>
      </c>
      <c r="B634" s="16" t="s">
        <v>1375</v>
      </c>
      <c r="C634" s="16" t="s">
        <v>305</v>
      </c>
      <c r="D634" s="16" t="s">
        <v>306</v>
      </c>
      <c r="E634" s="6" t="n">
        <v>1000</v>
      </c>
      <c r="F634" s="7" t="n">
        <v>1</v>
      </c>
      <c r="G634" s="6" t="n">
        <v>26.18</v>
      </c>
      <c r="H634" s="6" t="n">
        <v>3</v>
      </c>
      <c r="I634" s="6" t="n">
        <v>26.18</v>
      </c>
      <c r="J634" s="6" t="n">
        <v>23.18</v>
      </c>
    </row>
    <row collapsed="false" customFormat="false" customHeight="false" hidden="false" ht="12.1" outlineLevel="0" r="635">
      <c r="A635" s="35" t="n">
        <v>46126</v>
      </c>
      <c r="B635" s="16" t="s">
        <v>1375</v>
      </c>
      <c r="C635" s="16" t="s">
        <v>237</v>
      </c>
      <c r="D635" s="16" t="s">
        <v>238</v>
      </c>
      <c r="E635" s="6" t="n">
        <v>1000</v>
      </c>
      <c r="F635" s="7" t="n">
        <v>1</v>
      </c>
      <c r="G635" s="6" t="n">
        <v>97.23</v>
      </c>
      <c r="H635" s="6" t="n">
        <v>13</v>
      </c>
      <c r="I635" s="6" t="n">
        <v>97.23</v>
      </c>
      <c r="J635" s="6" t="n">
        <v>84.23</v>
      </c>
    </row>
    <row collapsed="false" customFormat="false" customHeight="false" hidden="false" ht="12.1" outlineLevel="0" r="636">
      <c r="A636" s="35" t="n">
        <v>46127</v>
      </c>
      <c r="B636" s="16" t="s">
        <v>1375</v>
      </c>
      <c r="C636" s="16" t="s">
        <v>178</v>
      </c>
      <c r="D636" s="16" t="s">
        <v>179</v>
      </c>
      <c r="E636" s="6" t="n">
        <v>1000</v>
      </c>
      <c r="F636" s="7" t="n">
        <v>2</v>
      </c>
      <c r="G636" s="6" t="n">
        <v>43.13</v>
      </c>
      <c r="H636" s="6" t="n">
        <v>11</v>
      </c>
      <c r="I636" s="6" t="n">
        <v>86.26</v>
      </c>
      <c r="J636" s="6" t="n">
        <v>75.26</v>
      </c>
    </row>
    <row collapsed="false" customFormat="false" customHeight="false" hidden="false" ht="12.1" outlineLevel="0" r="637">
      <c r="A637" s="35" t="n">
        <v>46128</v>
      </c>
      <c r="B637" s="16" t="s">
        <v>1375</v>
      </c>
      <c r="C637" s="16" t="s">
        <v>246</v>
      </c>
      <c r="D637" s="16" t="s">
        <v>247</v>
      </c>
      <c r="E637" s="6" t="n">
        <v>1000</v>
      </c>
      <c r="F637" s="7" t="n">
        <v>1</v>
      </c>
      <c r="G637" s="6" t="n">
        <v>20.96</v>
      </c>
      <c r="H637" s="6" t="n">
        <v>3</v>
      </c>
      <c r="I637" s="6" t="n">
        <v>20.96</v>
      </c>
      <c r="J637" s="6" t="n">
        <v>17.96</v>
      </c>
    </row>
    <row collapsed="false" customFormat="false" customHeight="false" hidden="false" ht="12.1" outlineLevel="0" r="638">
      <c r="A638" s="35" t="n">
        <v>46129</v>
      </c>
      <c r="B638" s="16" t="s">
        <v>1375</v>
      </c>
      <c r="C638" s="16" t="s">
        <v>323</v>
      </c>
      <c r="D638" s="16" t="s">
        <v>324</v>
      </c>
      <c r="E638" s="6" t="n">
        <v>1000</v>
      </c>
      <c r="F638" s="7" t="n">
        <v>1</v>
      </c>
      <c r="G638" s="6" t="n">
        <v>11.18</v>
      </c>
      <c r="H638" s="6" t="n">
        <v>1</v>
      </c>
      <c r="I638" s="6" t="n">
        <v>11.18</v>
      </c>
      <c r="J638" s="6" t="n">
        <v>10.18</v>
      </c>
    </row>
    <row collapsed="false" customFormat="false" customHeight="false" hidden="false" ht="12.1" outlineLevel="0" r="639">
      <c r="A639" s="35" t="n">
        <v>46131</v>
      </c>
      <c r="B639" s="16" t="s">
        <v>1375</v>
      </c>
      <c r="C639" s="16" t="s">
        <v>202</v>
      </c>
      <c r="D639" s="16" t="s">
        <v>203</v>
      </c>
      <c r="E639" s="6" t="n">
        <v>1000</v>
      </c>
      <c r="F639" s="7" t="n">
        <v>2</v>
      </c>
      <c r="G639" s="6" t="n">
        <v>13.64</v>
      </c>
      <c r="H639" s="6" t="n">
        <v>4</v>
      </c>
      <c r="I639" s="6" t="n">
        <v>27.28</v>
      </c>
      <c r="J639" s="6" t="n">
        <v>23.28</v>
      </c>
    </row>
    <row collapsed="false" customFormat="false" customHeight="false" hidden="false" ht="12.1" outlineLevel="0" r="640">
      <c r="A640" s="35" t="n">
        <v>46132</v>
      </c>
      <c r="B640" s="16" t="s">
        <v>1375</v>
      </c>
      <c r="C640" s="16" t="s">
        <v>334</v>
      </c>
      <c r="D640" s="16" t="s">
        <v>335</v>
      </c>
      <c r="E640" s="6" t="n">
        <v>175</v>
      </c>
      <c r="F640" s="7" t="n">
        <v>1</v>
      </c>
      <c r="G640" s="6" t="n">
        <v>6</v>
      </c>
      <c r="H640" s="6" t="n">
        <v>1</v>
      </c>
      <c r="I640" s="6" t="n">
        <v>6</v>
      </c>
      <c r="J640" s="6" t="n">
        <v>5</v>
      </c>
    </row>
    <row collapsed="false" customFormat="false" customHeight="false" hidden="false" ht="12.1" outlineLevel="0" r="641">
      <c r="A641" s="35" t="n">
        <v>46132</v>
      </c>
      <c r="B641" s="16" t="s">
        <v>1375</v>
      </c>
      <c r="C641" s="16" t="s">
        <v>190</v>
      </c>
      <c r="D641" s="16" t="s">
        <v>191</v>
      </c>
      <c r="E641" s="6" t="n">
        <v>1000</v>
      </c>
      <c r="F641" s="7" t="n">
        <v>2</v>
      </c>
      <c r="G641" s="6" t="n">
        <v>13.77</v>
      </c>
      <c r="H641" s="6" t="n">
        <v>4</v>
      </c>
      <c r="I641" s="6" t="n">
        <v>27.54</v>
      </c>
      <c r="J641" s="6" t="n">
        <v>23.54</v>
      </c>
    </row>
    <row collapsed="false" customFormat="false" customHeight="false" hidden="false" ht="12.1" outlineLevel="0" r="642">
      <c r="A642" s="35" t="n">
        <v>46133</v>
      </c>
      <c r="B642" s="16" t="s">
        <v>1375</v>
      </c>
      <c r="C642" s="16" t="s">
        <v>272</v>
      </c>
      <c r="D642" s="16" t="s">
        <v>273</v>
      </c>
      <c r="E642" s="6" t="n">
        <v>1000</v>
      </c>
      <c r="F642" s="7" t="n">
        <v>1</v>
      </c>
      <c r="G642" s="6" t="n">
        <v>44.13</v>
      </c>
      <c r="H642" s="6" t="n">
        <v>6</v>
      </c>
      <c r="I642" s="6" t="n">
        <v>44.13</v>
      </c>
      <c r="J642" s="6" t="n">
        <v>38.13</v>
      </c>
    </row>
    <row collapsed="false" customFormat="false" customHeight="false" hidden="false" ht="12.1" outlineLevel="0" r="643">
      <c r="A643" s="35" t="n">
        <v>46133</v>
      </c>
      <c r="B643" s="16" t="s">
        <v>1375</v>
      </c>
      <c r="C643" s="16" t="s">
        <v>169</v>
      </c>
      <c r="D643" s="16" t="s">
        <v>170</v>
      </c>
      <c r="E643" s="6" t="n">
        <v>1000</v>
      </c>
      <c r="F643" s="7" t="n">
        <v>3</v>
      </c>
      <c r="G643" s="6" t="n">
        <v>62.33</v>
      </c>
      <c r="H643" s="6" t="n">
        <v>24</v>
      </c>
      <c r="I643" s="6" t="n">
        <v>186.99</v>
      </c>
      <c r="J643" s="6" t="n">
        <v>162.99</v>
      </c>
    </row>
    <row collapsed="false" customFormat="false" customHeight="false" hidden="false" ht="12.1" outlineLevel="0" r="644">
      <c r="A644" s="35" t="n">
        <v>46133</v>
      </c>
      <c r="B644" s="16" t="s">
        <v>1375</v>
      </c>
      <c r="C644" s="16" t="s">
        <v>208</v>
      </c>
      <c r="D644" s="16" t="s">
        <v>209</v>
      </c>
      <c r="E644" s="6" t="n">
        <v>1000</v>
      </c>
      <c r="F644" s="7" t="n">
        <v>2</v>
      </c>
      <c r="G644" s="6" t="n">
        <v>64.82</v>
      </c>
      <c r="H644" s="6" t="n">
        <v>17</v>
      </c>
      <c r="I644" s="6" t="n">
        <v>129.64</v>
      </c>
      <c r="J644" s="6" t="n">
        <v>112.64</v>
      </c>
    </row>
    <row collapsed="false" customFormat="false" customHeight="false" hidden="false" ht="12.1" outlineLevel="0" r="645">
      <c r="A645" s="35" t="n">
        <v>46133</v>
      </c>
      <c r="B645" s="16" t="s">
        <v>1375</v>
      </c>
      <c r="C645" s="16" t="s">
        <v>205</v>
      </c>
      <c r="D645" s="16" t="s">
        <v>206</v>
      </c>
      <c r="E645" s="6" t="n">
        <v>1000</v>
      </c>
      <c r="F645" s="7" t="n">
        <v>2</v>
      </c>
      <c r="G645" s="6" t="n">
        <v>64.82</v>
      </c>
      <c r="H645" s="6" t="n">
        <v>17</v>
      </c>
      <c r="I645" s="6" t="n">
        <v>129.64</v>
      </c>
      <c r="J645" s="6" t="n">
        <v>112.64</v>
      </c>
    </row>
    <row collapsed="false" customFormat="false" customHeight="false" hidden="false" ht="12.1" outlineLevel="0" r="646">
      <c r="A646" s="35" t="n">
        <v>46133</v>
      </c>
      <c r="B646" s="16" t="s">
        <v>1375</v>
      </c>
      <c r="C646" s="16" t="s">
        <v>317</v>
      </c>
      <c r="D646" s="16" t="s">
        <v>318</v>
      </c>
      <c r="E646" s="6" t="n">
        <v>1000</v>
      </c>
      <c r="F646" s="7" t="n">
        <v>1</v>
      </c>
      <c r="G646" s="6" t="n">
        <v>14.28</v>
      </c>
      <c r="H646" s="6" t="n">
        <v>2</v>
      </c>
      <c r="I646" s="6" t="n">
        <v>14.28</v>
      </c>
      <c r="J646" s="6" t="n">
        <v>12.28</v>
      </c>
    </row>
    <row collapsed="false" customFormat="false" customHeight="false" hidden="false" ht="12.1" outlineLevel="0" r="647">
      <c r="A647" s="35" t="n">
        <v>46133</v>
      </c>
      <c r="B647" s="16" t="s">
        <v>1375</v>
      </c>
      <c r="C647" s="16" t="s">
        <v>263</v>
      </c>
      <c r="D647" s="16" t="s">
        <v>264</v>
      </c>
      <c r="E647" s="6" t="n">
        <v>1000</v>
      </c>
      <c r="F647" s="7" t="n">
        <v>1</v>
      </c>
      <c r="G647" s="6" t="n">
        <v>12.66</v>
      </c>
      <c r="H647" s="6" t="n">
        <v>2</v>
      </c>
      <c r="I647" s="6" t="n">
        <v>12.66</v>
      </c>
      <c r="J647" s="6" t="n">
        <v>10.66</v>
      </c>
    </row>
    <row collapsed="false" customFormat="false" customHeight="false" hidden="false" ht="12.1" outlineLevel="0" r="648">
      <c r="A648" s="35" t="n">
        <v>46134</v>
      </c>
      <c r="B648" s="16" t="s">
        <v>1375</v>
      </c>
      <c r="C648" s="16" t="s">
        <v>243</v>
      </c>
      <c r="D648" s="16" t="s">
        <v>244</v>
      </c>
      <c r="E648" s="6" t="n">
        <v>1000</v>
      </c>
      <c r="F648" s="7" t="n">
        <v>1</v>
      </c>
      <c r="G648" s="6" t="n">
        <v>14.79</v>
      </c>
      <c r="H648" s="6" t="n">
        <v>2</v>
      </c>
      <c r="I648" s="6" t="n">
        <v>14.79</v>
      </c>
      <c r="J648" s="6" t="n">
        <v>12.79</v>
      </c>
    </row>
    <row collapsed="false" customFormat="false" customHeight="false" hidden="false" ht="12.1" outlineLevel="0" r="649">
      <c r="A649" s="35" t="n">
        <v>46135</v>
      </c>
      <c r="B649" s="16" t="s">
        <v>1375</v>
      </c>
      <c r="C649" s="16" t="s">
        <v>252</v>
      </c>
      <c r="D649" s="16" t="s">
        <v>253</v>
      </c>
      <c r="E649" s="6" t="n">
        <v>1000</v>
      </c>
      <c r="F649" s="7" t="n">
        <v>1</v>
      </c>
      <c r="G649" s="6" t="n">
        <v>19.48</v>
      </c>
      <c r="H649" s="6" t="n">
        <v>3</v>
      </c>
      <c r="I649" s="6" t="n">
        <v>19.48</v>
      </c>
      <c r="J649" s="6" t="n">
        <v>16.48</v>
      </c>
    </row>
    <row collapsed="false" customFormat="false" customHeight="false" hidden="false" ht="12.1" outlineLevel="0" r="650">
      <c r="A650" s="35" t="n">
        <v>46135</v>
      </c>
      <c r="B650" s="16" t="s">
        <v>1375</v>
      </c>
      <c r="C650" s="16" t="s">
        <v>249</v>
      </c>
      <c r="D650" s="16" t="s">
        <v>250</v>
      </c>
      <c r="E650" s="6" t="n">
        <v>1000</v>
      </c>
      <c r="F650" s="7" t="n">
        <v>1</v>
      </c>
      <c r="G650" s="6" t="n">
        <v>11.42</v>
      </c>
      <c r="H650" s="6" t="n">
        <v>1</v>
      </c>
      <c r="I650" s="6" t="n">
        <v>11.42</v>
      </c>
      <c r="J650" s="6" t="n">
        <v>10.42</v>
      </c>
    </row>
    <row collapsed="false" customFormat="false" customHeight="false" hidden="false" ht="12.1" outlineLevel="0" r="651">
      <c r="A651" s="35" t="n">
        <v>46136</v>
      </c>
      <c r="B651" s="16" t="s">
        <v>1375</v>
      </c>
      <c r="C651" s="16" t="s">
        <v>184</v>
      </c>
      <c r="D651" s="16" t="s">
        <v>185</v>
      </c>
      <c r="E651" s="6" t="n">
        <v>1000</v>
      </c>
      <c r="F651" s="7" t="n">
        <v>2</v>
      </c>
      <c r="G651" s="6" t="n">
        <v>13.68</v>
      </c>
      <c r="H651" s="6" t="n">
        <v>4</v>
      </c>
      <c r="I651" s="6" t="n">
        <v>27.36</v>
      </c>
      <c r="J651" s="6" t="n">
        <v>23.36</v>
      </c>
    </row>
    <row collapsed="false" customFormat="false" customHeight="false" hidden="false" ht="12.1" outlineLevel="0" r="652">
      <c r="A652" s="35" t="n">
        <v>46139</v>
      </c>
      <c r="B652" s="16" t="s">
        <v>1375</v>
      </c>
      <c r="C652" s="16" t="s">
        <v>290</v>
      </c>
      <c r="D652" s="16" t="s">
        <v>291</v>
      </c>
      <c r="E652" s="6" t="n">
        <v>1000</v>
      </c>
      <c r="F652" s="7" t="n">
        <v>1</v>
      </c>
      <c r="G652" s="6" t="n">
        <v>28.22</v>
      </c>
      <c r="H652" s="6" t="n">
        <v>4</v>
      </c>
      <c r="I652" s="6" t="n">
        <v>28.22</v>
      </c>
      <c r="J652" s="6" t="n">
        <v>24.22</v>
      </c>
    </row>
    <row collapsed="false" customFormat="false" customHeight="false" hidden="false" ht="12.1" outlineLevel="0" r="653">
      <c r="A653" s="35" t="n">
        <v>46139</v>
      </c>
      <c r="B653" s="16" t="s">
        <v>1375</v>
      </c>
      <c r="C653" s="16" t="s">
        <v>226</v>
      </c>
      <c r="D653" s="16" t="s">
        <v>227</v>
      </c>
      <c r="E653" s="6" t="n">
        <v>875</v>
      </c>
      <c r="F653" s="7" t="n">
        <v>2</v>
      </c>
      <c r="G653" s="6" t="n">
        <v>25.52</v>
      </c>
      <c r="H653" s="6" t="n">
        <v>7</v>
      </c>
      <c r="I653" s="6" t="n">
        <v>51.04</v>
      </c>
      <c r="J653" s="6" t="n">
        <v>44.04</v>
      </c>
    </row>
    <row collapsed="false" customFormat="false" customHeight="false" hidden="false" ht="12.1" outlineLevel="0" r="654">
      <c r="A654" s="35" t="n">
        <v>46139</v>
      </c>
      <c r="B654" s="16" t="s">
        <v>1375</v>
      </c>
      <c r="C654" s="16" t="s">
        <v>193</v>
      </c>
      <c r="D654" s="16" t="s">
        <v>194</v>
      </c>
      <c r="E654" s="6" t="n">
        <v>1000</v>
      </c>
      <c r="F654" s="7" t="n">
        <v>2</v>
      </c>
      <c r="G654" s="6" t="n">
        <v>12.95</v>
      </c>
      <c r="H654" s="6" t="n">
        <v>3</v>
      </c>
      <c r="I654" s="6" t="n">
        <v>25.9</v>
      </c>
      <c r="J654" s="6" t="n">
        <v>22.9</v>
      </c>
    </row>
    <row collapsed="false" customFormat="false" customHeight="false" hidden="false" ht="12.1" outlineLevel="0" r="655">
      <c r="A655" s="35" t="n">
        <v>46140</v>
      </c>
      <c r="B655" s="16" t="s">
        <v>1375</v>
      </c>
      <c r="C655" s="16" t="s">
        <v>293</v>
      </c>
      <c r="D655" s="16" t="s">
        <v>294</v>
      </c>
      <c r="E655" s="6" t="n">
        <v>1000</v>
      </c>
      <c r="F655" s="7" t="n">
        <v>1</v>
      </c>
      <c r="G655" s="6" t="n">
        <v>40.15</v>
      </c>
      <c r="H655" s="6" t="n">
        <v>5</v>
      </c>
      <c r="I655" s="6" t="n">
        <v>40.15</v>
      </c>
      <c r="J655" s="6" t="n">
        <v>35.15</v>
      </c>
    </row>
    <row collapsed="false" customFormat="false" customHeight="false" hidden="false" ht="12.1" outlineLevel="0" r="656">
      <c r="A656" s="35" t="n">
        <v>46141</v>
      </c>
      <c r="B656" s="16" t="s">
        <v>1375</v>
      </c>
      <c r="C656" s="16" t="s">
        <v>181</v>
      </c>
      <c r="D656" s="16" t="s">
        <v>182</v>
      </c>
      <c r="E656" s="6" t="n">
        <v>1000</v>
      </c>
      <c r="F656" s="7" t="n">
        <v>2</v>
      </c>
      <c r="G656" s="6" t="n">
        <v>13.15</v>
      </c>
      <c r="H656" s="6" t="n">
        <v>3</v>
      </c>
      <c r="I656" s="6" t="n">
        <v>26.3</v>
      </c>
      <c r="J656" s="6" t="n">
        <v>23.3</v>
      </c>
    </row>
    <row collapsed="false" customFormat="false" customHeight="false" hidden="false" ht="12.1" outlineLevel="0" r="657">
      <c r="A657" s="35" t="n">
        <v>46142</v>
      </c>
      <c r="B657" s="16" t="s">
        <v>1375</v>
      </c>
      <c r="C657" s="16" t="s">
        <v>284</v>
      </c>
      <c r="D657" s="16" t="s">
        <v>285</v>
      </c>
      <c r="E657" s="6" t="n">
        <v>1000</v>
      </c>
      <c r="F657" s="7" t="n">
        <v>1</v>
      </c>
      <c r="G657" s="6" t="n">
        <v>59.19</v>
      </c>
      <c r="H657" s="6" t="n">
        <v>8</v>
      </c>
      <c r="I657" s="6" t="n">
        <v>59.19</v>
      </c>
      <c r="J657" s="6" t="n">
        <v>51.19</v>
      </c>
    </row>
    <row collapsed="false" customFormat="false" customHeight="false" hidden="false" ht="12.1" outlineLevel="0" r="658">
      <c r="A658" s="35" t="n">
        <v>46142</v>
      </c>
      <c r="B658" s="16" t="s">
        <v>1375</v>
      </c>
      <c r="C658" s="16" t="s">
        <v>299</v>
      </c>
      <c r="D658" s="16" t="s">
        <v>300</v>
      </c>
      <c r="E658" s="6" t="n">
        <v>1000</v>
      </c>
      <c r="F658" s="7" t="n">
        <v>1</v>
      </c>
      <c r="G658" s="6" t="n">
        <v>23.86</v>
      </c>
      <c r="H658" s="6" t="n">
        <v>3</v>
      </c>
      <c r="I658" s="6" t="n">
        <v>23.86</v>
      </c>
      <c r="J658" s="6" t="n">
        <v>20.86</v>
      </c>
    </row>
    <row collapsed="false" customFormat="false" customHeight="false" hidden="false" ht="12.1" outlineLevel="0" r="659">
      <c r="A659" s="35" t="n">
        <v>46143</v>
      </c>
      <c r="B659" s="16" t="s">
        <v>1375</v>
      </c>
      <c r="C659" s="16" t="s">
        <v>232</v>
      </c>
      <c r="D659" s="16" t="s">
        <v>233</v>
      </c>
      <c r="E659" s="6" t="n">
        <v>1000</v>
      </c>
      <c r="F659" s="7" t="n">
        <v>2</v>
      </c>
      <c r="G659" s="6" t="n">
        <v>1.64</v>
      </c>
      <c r="H659" s="6" t="n">
        <v>0</v>
      </c>
      <c r="I659" s="6" t="n">
        <v>3.28</v>
      </c>
      <c r="J659" s="6" t="n">
        <v>3.28</v>
      </c>
    </row>
    <row collapsed="false" customFormat="false" customHeight="false" hidden="false" ht="12.1" outlineLevel="0" r="660">
      <c r="A660" s="35" t="n">
        <v>46144</v>
      </c>
      <c r="B660" s="16" t="s">
        <v>1375</v>
      </c>
      <c r="C660" s="16" t="s">
        <v>234</v>
      </c>
      <c r="D660" s="16" t="s">
        <v>235</v>
      </c>
      <c r="E660" s="6" t="n">
        <v>1000</v>
      </c>
      <c r="F660" s="7" t="n">
        <v>1</v>
      </c>
      <c r="G660" s="6" t="n">
        <v>19.11</v>
      </c>
      <c r="H660" s="6" t="n">
        <v>2</v>
      </c>
      <c r="I660" s="6" t="n">
        <v>19.11</v>
      </c>
      <c r="J660" s="6" t="n">
        <v>17.11</v>
      </c>
    </row>
    <row collapsed="false" customFormat="false" customHeight="false" hidden="false" ht="12.1" outlineLevel="0" r="661">
      <c r="A661" s="35" t="n">
        <v>46146</v>
      </c>
      <c r="B661" s="16" t="s">
        <v>1375</v>
      </c>
      <c r="C661" s="16" t="s">
        <v>278</v>
      </c>
      <c r="D661" s="16" t="s">
        <v>279</v>
      </c>
      <c r="E661" s="6" t="n">
        <v>1000</v>
      </c>
      <c r="F661" s="7" t="n">
        <v>1</v>
      </c>
      <c r="G661" s="6" t="n">
        <v>14.51</v>
      </c>
      <c r="H661" s="6" t="n">
        <v>2</v>
      </c>
      <c r="I661" s="6" t="n">
        <v>14.51</v>
      </c>
      <c r="J661" s="6" t="n">
        <v>12.51</v>
      </c>
    </row>
    <row collapsed="false" customFormat="false" customHeight="false" hidden="false" ht="12.1" outlineLevel="0" r="662">
      <c r="A662" s="35" t="n">
        <v>46149</v>
      </c>
      <c r="B662" s="16" t="s">
        <v>1375</v>
      </c>
      <c r="C662" s="16" t="s">
        <v>199</v>
      </c>
      <c r="D662" s="16" t="s">
        <v>200</v>
      </c>
      <c r="E662" s="6" t="n">
        <v>1000</v>
      </c>
      <c r="F662" s="7" t="n">
        <v>2</v>
      </c>
      <c r="G662" s="6" t="n">
        <v>14.66</v>
      </c>
      <c r="H662" s="6" t="n">
        <v>4</v>
      </c>
      <c r="I662" s="6" t="n">
        <v>29.32</v>
      </c>
      <c r="J662" s="6" t="n">
        <v>25.32</v>
      </c>
    </row>
    <row collapsed="false" customFormat="false" customHeight="false" hidden="false" ht="12.1" outlineLevel="0" r="663">
      <c r="A663" s="35" t="n">
        <v>46149</v>
      </c>
      <c r="B663" s="16" t="s">
        <v>1375</v>
      </c>
      <c r="C663" s="16" t="s">
        <v>223</v>
      </c>
      <c r="D663" s="16" t="s">
        <v>224</v>
      </c>
      <c r="E663" s="6" t="n">
        <v>1000</v>
      </c>
      <c r="F663" s="7" t="n">
        <v>2</v>
      </c>
      <c r="G663" s="6" t="n">
        <v>45.38</v>
      </c>
      <c r="H663" s="6" t="n">
        <v>12</v>
      </c>
      <c r="I663" s="6" t="n">
        <v>90.76</v>
      </c>
      <c r="J663" s="6" t="n">
        <v>78.76</v>
      </c>
    </row>
    <row collapsed="false" customFormat="false" customHeight="false" hidden="false" ht="12.1" outlineLevel="0" r="664">
      <c r="A664" s="35" t="n">
        <v>46152</v>
      </c>
      <c r="B664" s="16" t="s">
        <v>1375</v>
      </c>
      <c r="C664" s="16" t="s">
        <v>254</v>
      </c>
      <c r="D664" s="16" t="s">
        <v>255</v>
      </c>
      <c r="E664" s="6" t="n">
        <v>1000</v>
      </c>
      <c r="F664" s="7" t="n">
        <v>1</v>
      </c>
      <c r="G664" s="6" t="n">
        <v>11.38</v>
      </c>
      <c r="H664" s="6" t="n">
        <v>1</v>
      </c>
      <c r="I664" s="6" t="n">
        <v>11.38</v>
      </c>
      <c r="J664" s="6" t="n">
        <v>10.38</v>
      </c>
    </row>
    <row collapsed="false" customFormat="false" customHeight="false" hidden="false" ht="12.1" outlineLevel="0" r="665">
      <c r="A665" s="35" t="n">
        <v>46154</v>
      </c>
      <c r="B665" s="16" t="s">
        <v>1375</v>
      </c>
      <c r="C665" s="16" t="s">
        <v>109</v>
      </c>
      <c r="D665" s="16" t="s">
        <v>110</v>
      </c>
      <c r="E665" s="6" t="n">
        <v>1000</v>
      </c>
      <c r="F665" s="7" t="n">
        <v>11</v>
      </c>
      <c r="G665" s="6" t="n">
        <v>99.18</v>
      </c>
      <c r="H665" s="6" t="n">
        <v>142</v>
      </c>
      <c r="I665" s="6" t="n">
        <v>1090.98</v>
      </c>
      <c r="J665" s="6" t="n">
        <v>948.98</v>
      </c>
    </row>
    <row collapsed="false" customFormat="false" customHeight="false" hidden="false" ht="12.1" outlineLevel="0" r="666">
      <c r="A666" s="35" t="n">
        <v>46155</v>
      </c>
      <c r="B666" s="16" t="s">
        <v>1375</v>
      </c>
      <c r="C666" s="16" t="s">
        <v>257</v>
      </c>
      <c r="D666" s="16" t="s">
        <v>258</v>
      </c>
      <c r="E666" s="6" t="n">
        <v>1000</v>
      </c>
      <c r="F666" s="7" t="n">
        <v>1</v>
      </c>
      <c r="G666" s="6" t="n">
        <v>14.48</v>
      </c>
      <c r="H666" s="6" t="n">
        <v>2</v>
      </c>
      <c r="I666" s="6" t="n">
        <v>14.48</v>
      </c>
      <c r="J666" s="6" t="n">
        <v>12.48</v>
      </c>
    </row>
    <row collapsed="false" customFormat="false" customHeight="false" hidden="false" ht="12.1" outlineLevel="0" r="667">
      <c r="A667" s="35" t="n">
        <v>46158</v>
      </c>
      <c r="B667" s="16" t="s">
        <v>1375</v>
      </c>
      <c r="C667" s="16" t="s">
        <v>246</v>
      </c>
      <c r="D667" s="16" t="s">
        <v>247</v>
      </c>
      <c r="E667" s="6" t="n">
        <v>1000</v>
      </c>
      <c r="F667" s="7" t="n">
        <v>1</v>
      </c>
      <c r="G667" s="6" t="n">
        <v>20.96</v>
      </c>
      <c r="H667" s="6" t="n">
        <v>3</v>
      </c>
      <c r="I667" s="6" t="n">
        <v>20.96</v>
      </c>
      <c r="J667" s="6" t="n">
        <v>17.96</v>
      </c>
    </row>
    <row collapsed="false" customFormat="false" customHeight="false" hidden="false" ht="12.1" outlineLevel="0" r="668">
      <c r="A668" s="35" t="n">
        <v>46159</v>
      </c>
      <c r="B668" s="16" t="s">
        <v>1375</v>
      </c>
      <c r="C668" s="16" t="s">
        <v>323</v>
      </c>
      <c r="D668" s="16" t="s">
        <v>324</v>
      </c>
      <c r="E668" s="6" t="n">
        <v>1000</v>
      </c>
      <c r="F668" s="7" t="n">
        <v>1</v>
      </c>
      <c r="G668" s="6" t="n">
        <v>11.18</v>
      </c>
      <c r="H668" s="6" t="n">
        <v>1</v>
      </c>
      <c r="I668" s="6" t="n">
        <v>11.18</v>
      </c>
      <c r="J668" s="6" t="n">
        <v>10.18</v>
      </c>
    </row>
    <row collapsed="false" customFormat="false" customHeight="false" hidden="false" ht="12.1" outlineLevel="0" r="669">
      <c r="A669" s="35" t="n">
        <v>46161</v>
      </c>
      <c r="B669" s="16" t="s">
        <v>1375</v>
      </c>
      <c r="C669" s="16" t="s">
        <v>202</v>
      </c>
      <c r="D669" s="16" t="s">
        <v>203</v>
      </c>
      <c r="E669" s="6" t="n">
        <v>1000</v>
      </c>
      <c r="F669" s="7" t="n">
        <v>2</v>
      </c>
      <c r="G669" s="6" t="n">
        <v>13.64</v>
      </c>
      <c r="H669" s="6" t="n">
        <v>4</v>
      </c>
      <c r="I669" s="6" t="n">
        <v>27.28</v>
      </c>
      <c r="J669" s="6" t="n">
        <v>23.28</v>
      </c>
    </row>
    <row collapsed="false" customFormat="false" customHeight="false" hidden="false" ht="12.1" outlineLevel="0" r="670">
      <c r="A670" s="35" t="n">
        <v>46161</v>
      </c>
      <c r="B670" s="16" t="s">
        <v>1375</v>
      </c>
      <c r="C670" s="16" t="s">
        <v>136</v>
      </c>
      <c r="D670" s="16" t="s">
        <v>137</v>
      </c>
      <c r="E670" s="6" t="n">
        <v>1000</v>
      </c>
      <c r="F670" s="7" t="n">
        <v>14</v>
      </c>
      <c r="G670" s="6" t="n">
        <v>36.15</v>
      </c>
      <c r="H670" s="6" t="n">
        <v>66</v>
      </c>
      <c r="I670" s="6" t="n">
        <v>506.1</v>
      </c>
      <c r="J670" s="6" t="n">
        <v>440.1</v>
      </c>
    </row>
    <row collapsed="false" customFormat="false" customHeight="false" hidden="false" ht="12.1" outlineLevel="0" r="671">
      <c r="A671" s="35" t="n">
        <v>46161</v>
      </c>
      <c r="B671" s="16" t="s">
        <v>1375</v>
      </c>
      <c r="C671" s="16" t="s">
        <v>139</v>
      </c>
      <c r="D671" s="16" t="s">
        <v>140</v>
      </c>
      <c r="E671" s="6" t="n">
        <v>1242.73</v>
      </c>
      <c r="F671" s="7" t="n">
        <v>6</v>
      </c>
      <c r="G671" s="6" t="n">
        <v>15.55</v>
      </c>
      <c r="H671" s="6" t="n">
        <v>12</v>
      </c>
      <c r="I671" s="6" t="n">
        <v>93.3</v>
      </c>
      <c r="J671" s="6" t="n">
        <v>81.3</v>
      </c>
    </row>
    <row collapsed="false" customFormat="false" customHeight="false" hidden="false" ht="12.1" outlineLevel="0" r="672">
      <c r="A672" s="35" t="n">
        <v>46162</v>
      </c>
      <c r="B672" s="16" t="s">
        <v>1375</v>
      </c>
      <c r="C672" s="16" t="s">
        <v>190</v>
      </c>
      <c r="D672" s="16" t="s">
        <v>191</v>
      </c>
      <c r="E672" s="6" t="n">
        <v>1000</v>
      </c>
      <c r="F672" s="7" t="n">
        <v>2</v>
      </c>
      <c r="G672" s="6" t="n">
        <v>13.77</v>
      </c>
      <c r="H672" s="6" t="n">
        <v>4</v>
      </c>
      <c r="I672" s="6" t="n">
        <v>27.54</v>
      </c>
      <c r="J672" s="6" t="n">
        <v>23.54</v>
      </c>
    </row>
    <row collapsed="false" customFormat="false" customHeight="false" hidden="false" ht="12.1" outlineLevel="0" r="673">
      <c r="A673" s="35" t="n">
        <v>46162</v>
      </c>
      <c r="B673" s="16" t="s">
        <v>1375</v>
      </c>
      <c r="C673" s="16" t="s">
        <v>331</v>
      </c>
      <c r="D673" s="16" t="s">
        <v>332</v>
      </c>
      <c r="E673" s="6" t="n">
        <v>250</v>
      </c>
      <c r="F673" s="7" t="n">
        <v>1</v>
      </c>
      <c r="G673" s="6" t="n">
        <v>4.33</v>
      </c>
      <c r="H673" s="6" t="n">
        <v>1</v>
      </c>
      <c r="I673" s="6" t="n">
        <v>4.33</v>
      </c>
      <c r="J673" s="6" t="n">
        <v>3.33</v>
      </c>
    </row>
    <row collapsed="false" customFormat="false" customHeight="false" hidden="false" ht="12.1" outlineLevel="0" r="674">
      <c r="A674" s="35" t="n">
        <v>46162</v>
      </c>
      <c r="B674" s="16" t="s">
        <v>1375</v>
      </c>
      <c r="C674" s="16" t="s">
        <v>187</v>
      </c>
      <c r="D674" s="16" t="s">
        <v>188</v>
      </c>
      <c r="E674" s="6" t="n">
        <v>1000</v>
      </c>
      <c r="F674" s="7" t="n">
        <v>2</v>
      </c>
      <c r="G674" s="6" t="n">
        <v>39.87</v>
      </c>
      <c r="H674" s="6" t="n">
        <v>10</v>
      </c>
      <c r="I674" s="6" t="n">
        <v>79.74</v>
      </c>
      <c r="J674" s="6" t="n">
        <v>69.74</v>
      </c>
    </row>
    <row collapsed="false" customFormat="false" customHeight="false" hidden="false" ht="12.1" outlineLevel="0" r="675">
      <c r="A675" s="35" t="n">
        <v>46163</v>
      </c>
      <c r="B675" s="16" t="s">
        <v>1375</v>
      </c>
      <c r="C675" s="16" t="s">
        <v>263</v>
      </c>
      <c r="D675" s="16" t="s">
        <v>264</v>
      </c>
      <c r="E675" s="6" t="n">
        <v>1000</v>
      </c>
      <c r="F675" s="7" t="n">
        <v>1</v>
      </c>
      <c r="G675" s="6" t="n">
        <v>12.66</v>
      </c>
      <c r="H675" s="6" t="n">
        <v>2</v>
      </c>
      <c r="I675" s="6" t="n">
        <v>12.66</v>
      </c>
      <c r="J675" s="6" t="n">
        <v>10.66</v>
      </c>
    </row>
    <row collapsed="false" customFormat="false" customHeight="false" hidden="false" ht="12.1" outlineLevel="0" r="676">
      <c r="A676" s="35" t="n">
        <v>46164</v>
      </c>
      <c r="B676" s="16" t="s">
        <v>1375</v>
      </c>
      <c r="C676" s="16" t="s">
        <v>317</v>
      </c>
      <c r="D676" s="16" t="s">
        <v>318</v>
      </c>
      <c r="E676" s="6" t="n">
        <v>1000</v>
      </c>
      <c r="F676" s="7" t="n">
        <v>1</v>
      </c>
      <c r="G676" s="6" t="n">
        <v>14.28</v>
      </c>
      <c r="H676" s="6" t="n">
        <v>2</v>
      </c>
      <c r="I676" s="6" t="n">
        <v>14.28</v>
      </c>
      <c r="J676" s="6" t="n">
        <v>12.28</v>
      </c>
    </row>
    <row collapsed="false" customFormat="false" customHeight="false" hidden="false" ht="12.1" outlineLevel="0" r="677">
      <c r="A677" s="35" t="n">
        <v>46164</v>
      </c>
      <c r="B677" s="16" t="s">
        <v>1375</v>
      </c>
      <c r="C677" s="16" t="s">
        <v>243</v>
      </c>
      <c r="D677" s="16" t="s">
        <v>244</v>
      </c>
      <c r="E677" s="6" t="n">
        <v>1000</v>
      </c>
      <c r="F677" s="7" t="n">
        <v>1</v>
      </c>
      <c r="G677" s="6" t="n">
        <v>14.79</v>
      </c>
      <c r="H677" s="6" t="n">
        <v>2</v>
      </c>
      <c r="I677" s="6" t="n">
        <v>14.79</v>
      </c>
      <c r="J677" s="6" t="n">
        <v>12.79</v>
      </c>
    </row>
    <row collapsed="false" customFormat="false" customHeight="false" hidden="false" ht="12.1" outlineLevel="0" r="678">
      <c r="A678" s="35" t="n">
        <v>46165</v>
      </c>
      <c r="B678" s="16" t="s">
        <v>1375</v>
      </c>
      <c r="C678" s="16" t="s">
        <v>249</v>
      </c>
      <c r="D678" s="16" t="s">
        <v>250</v>
      </c>
      <c r="E678" s="6" t="n">
        <v>1000</v>
      </c>
      <c r="F678" s="7" t="n">
        <v>1</v>
      </c>
      <c r="G678" s="6" t="n">
        <v>11.42</v>
      </c>
      <c r="H678" s="6" t="n">
        <v>1</v>
      </c>
      <c r="I678" s="6" t="n">
        <v>11.42</v>
      </c>
      <c r="J678" s="6" t="n">
        <v>10.42</v>
      </c>
    </row>
    <row collapsed="false" customFormat="false" customHeight="false" hidden="false" ht="12.1" outlineLevel="0" r="679">
      <c r="A679" s="35" t="n">
        <v>46165</v>
      </c>
      <c r="B679" s="16" t="s">
        <v>1375</v>
      </c>
      <c r="C679" s="16" t="s">
        <v>252</v>
      </c>
      <c r="D679" s="16" t="s">
        <v>253</v>
      </c>
      <c r="E679" s="6" t="n">
        <v>1000</v>
      </c>
      <c r="F679" s="7" t="n">
        <v>1</v>
      </c>
      <c r="G679" s="6" t="n">
        <v>19.48</v>
      </c>
      <c r="H679" s="6" t="n">
        <v>3</v>
      </c>
      <c r="I679" s="6" t="n">
        <v>19.48</v>
      </c>
      <c r="J679" s="6" t="n">
        <v>16.48</v>
      </c>
    </row>
    <row collapsed="false" customFormat="false" customHeight="false" hidden="false" ht="12.1" outlineLevel="0" r="680">
      <c r="A680" s="35" t="n">
        <v>46166</v>
      </c>
      <c r="B680" s="16" t="s">
        <v>1375</v>
      </c>
      <c r="C680" s="16" t="s">
        <v>184</v>
      </c>
      <c r="D680" s="16" t="s">
        <v>185</v>
      </c>
      <c r="E680" s="6" t="n">
        <v>1000</v>
      </c>
      <c r="F680" s="7" t="n">
        <v>2</v>
      </c>
      <c r="G680" s="6" t="n">
        <v>13.68</v>
      </c>
      <c r="H680" s="6" t="n">
        <v>4</v>
      </c>
      <c r="I680" s="6" t="n">
        <v>27.36</v>
      </c>
      <c r="J680" s="6" t="n">
        <v>23.36</v>
      </c>
    </row>
    <row collapsed="false" customFormat="false" customHeight="false" hidden="false" ht="12.1" outlineLevel="0" r="681">
      <c r="A681" s="35" t="n">
        <v>46167</v>
      </c>
      <c r="B681" s="16" t="s">
        <v>1375</v>
      </c>
      <c r="C681" s="16" t="s">
        <v>172</v>
      </c>
      <c r="D681" s="16" t="s">
        <v>173</v>
      </c>
      <c r="E681" s="6" t="n">
        <v>1000</v>
      </c>
      <c r="F681" s="7" t="n">
        <v>3</v>
      </c>
      <c r="G681" s="6" t="n">
        <v>24.93</v>
      </c>
      <c r="H681" s="6" t="n">
        <v>10</v>
      </c>
      <c r="I681" s="6" t="n">
        <v>74.79</v>
      </c>
      <c r="J681" s="6" t="n">
        <v>64.79</v>
      </c>
    </row>
    <row collapsed="false" customFormat="false" customHeight="false" hidden="false" ht="12.1" outlineLevel="0" r="682">
      <c r="A682" s="35" t="n">
        <v>46168</v>
      </c>
      <c r="B682" s="16" t="s">
        <v>1375</v>
      </c>
      <c r="C682" s="16" t="s">
        <v>115</v>
      </c>
      <c r="D682" s="16" t="s">
        <v>116</v>
      </c>
      <c r="E682" s="6" t="n">
        <v>1000</v>
      </c>
      <c r="F682" s="7" t="n">
        <v>13</v>
      </c>
      <c r="G682" s="6" t="n">
        <v>61.08</v>
      </c>
      <c r="H682" s="6" t="n">
        <v>103</v>
      </c>
      <c r="I682" s="6" t="n">
        <v>794.04</v>
      </c>
      <c r="J682" s="6" t="n">
        <v>691.04</v>
      </c>
    </row>
    <row collapsed="false" customFormat="false" customHeight="false" hidden="false" ht="12.1" outlineLevel="0" r="683">
      <c r="A683" s="35" t="n">
        <v>46168</v>
      </c>
      <c r="B683" s="16" t="s">
        <v>1375</v>
      </c>
      <c r="C683" s="16" t="s">
        <v>118</v>
      </c>
      <c r="D683" s="16" t="s">
        <v>119</v>
      </c>
      <c r="E683" s="6" t="n">
        <v>1000</v>
      </c>
      <c r="F683" s="7" t="n">
        <v>14</v>
      </c>
      <c r="G683" s="6" t="n">
        <v>47.37</v>
      </c>
      <c r="H683" s="6" t="n">
        <v>86</v>
      </c>
      <c r="I683" s="6" t="n">
        <v>663.18</v>
      </c>
      <c r="J683" s="6" t="n">
        <v>577.18</v>
      </c>
    </row>
    <row collapsed="false" customFormat="false" customHeight="false" hidden="false" ht="12.1" outlineLevel="0" r="684">
      <c r="A684" s="35" t="n">
        <v>46169</v>
      </c>
      <c r="B684" s="16" t="s">
        <v>1375</v>
      </c>
      <c r="C684" s="16" t="s">
        <v>193</v>
      </c>
      <c r="D684" s="16" t="s">
        <v>194</v>
      </c>
      <c r="E684" s="6" t="n">
        <v>1000</v>
      </c>
      <c r="F684" s="7" t="n">
        <v>2</v>
      </c>
      <c r="G684" s="6" t="n">
        <v>12.95</v>
      </c>
      <c r="H684" s="6" t="n">
        <v>3</v>
      </c>
      <c r="I684" s="6" t="n">
        <v>25.9</v>
      </c>
      <c r="J684" s="6" t="n">
        <v>22.9</v>
      </c>
    </row>
    <row collapsed="false" customFormat="false" customHeight="false" hidden="false" ht="12.1" outlineLevel="0" r="685">
      <c r="A685" s="35" t="n">
        <v>46171</v>
      </c>
      <c r="B685" s="16" t="s">
        <v>1375</v>
      </c>
      <c r="C685" s="16" t="s">
        <v>181</v>
      </c>
      <c r="D685" s="16" t="s">
        <v>182</v>
      </c>
      <c r="E685" s="6" t="n">
        <v>1000</v>
      </c>
      <c r="F685" s="7" t="n">
        <v>2</v>
      </c>
      <c r="G685" s="6" t="n">
        <v>13.15</v>
      </c>
      <c r="H685" s="6" t="n">
        <v>3</v>
      </c>
      <c r="I685" s="6" t="n">
        <v>26.3</v>
      </c>
      <c r="J685" s="6" t="n">
        <v>23.3</v>
      </c>
    </row>
    <row collapsed="false" customFormat="false" customHeight="false" hidden="false" ht="12.1" outlineLevel="0" r="686">
      <c r="A686" s="35" t="n">
        <v>46173</v>
      </c>
      <c r="B686" s="16" t="s">
        <v>1375</v>
      </c>
      <c r="C686" s="16" t="s">
        <v>314</v>
      </c>
      <c r="D686" s="16" t="s">
        <v>315</v>
      </c>
      <c r="E686" s="6" t="n">
        <v>1000</v>
      </c>
      <c r="F686" s="7" t="n">
        <v>1</v>
      </c>
      <c r="G686" s="6" t="n">
        <v>25.68</v>
      </c>
      <c r="H686" s="6" t="n">
        <v>3</v>
      </c>
      <c r="I686" s="6" t="n">
        <v>25.68</v>
      </c>
      <c r="J686" s="6" t="n">
        <v>22.68</v>
      </c>
    </row>
    <row collapsed="false" customFormat="false" customHeight="false" hidden="false" ht="12.1" outlineLevel="0" r="687">
      <c r="A687" s="35" t="n">
        <v>46173</v>
      </c>
      <c r="B687" s="16" t="s">
        <v>1375</v>
      </c>
      <c r="C687" s="16" t="s">
        <v>232</v>
      </c>
      <c r="D687" s="16" t="s">
        <v>233</v>
      </c>
      <c r="E687" s="6" t="n">
        <v>1000</v>
      </c>
      <c r="F687" s="7" t="n">
        <v>2</v>
      </c>
      <c r="G687" s="6" t="n">
        <v>1.64</v>
      </c>
      <c r="H687" s="6" t="n">
        <v>0</v>
      </c>
      <c r="I687" s="6" t="n">
        <v>3.28</v>
      </c>
      <c r="J687" s="6" t="n">
        <v>3.28</v>
      </c>
    </row>
    <row collapsed="false" customFormat="false" customHeight="false" hidden="false" ht="12.1" outlineLevel="0" r="688">
      <c r="A688" s="35" t="n">
        <v>46173</v>
      </c>
      <c r="B688" s="16" t="s">
        <v>1375</v>
      </c>
      <c r="C688" s="16" t="s">
        <v>196</v>
      </c>
      <c r="D688" s="16" t="s">
        <v>197</v>
      </c>
      <c r="E688" s="6" t="n">
        <v>1000</v>
      </c>
      <c r="F688" s="7" t="n">
        <v>2</v>
      </c>
      <c r="G688" s="6" t="n">
        <v>19.95</v>
      </c>
      <c r="H688" s="6" t="n">
        <v>5</v>
      </c>
      <c r="I688" s="6" t="n">
        <v>39.9</v>
      </c>
      <c r="J688" s="6" t="n">
        <v>34.9</v>
      </c>
    </row>
    <row collapsed="false" customFormat="false" customHeight="false" hidden="false" ht="12.1" outlineLevel="0" r="689">
      <c r="A689" s="35" t="n">
        <v>46174</v>
      </c>
      <c r="B689" s="16" t="s">
        <v>1375</v>
      </c>
      <c r="C689" s="16" t="s">
        <v>211</v>
      </c>
      <c r="D689" s="16" t="s">
        <v>212</v>
      </c>
      <c r="E689" s="6" t="n">
        <v>1000</v>
      </c>
      <c r="F689" s="7" t="n">
        <v>2</v>
      </c>
      <c r="G689" s="6" t="n">
        <v>56.1</v>
      </c>
      <c r="H689" s="6" t="n">
        <v>15</v>
      </c>
      <c r="I689" s="6" t="n">
        <v>112.2</v>
      </c>
      <c r="J689" s="6" t="n">
        <v>97.2</v>
      </c>
    </row>
    <row collapsed="false" customFormat="false" customHeight="false" hidden="false" ht="12.1" outlineLevel="0" r="690">
      <c r="A690" s="35" t="n">
        <v>46174</v>
      </c>
      <c r="B690" s="16" t="s">
        <v>1375</v>
      </c>
      <c r="C690" s="16" t="s">
        <v>234</v>
      </c>
      <c r="D690" s="16" t="s">
        <v>235</v>
      </c>
      <c r="E690" s="6" t="n">
        <v>1000</v>
      </c>
      <c r="F690" s="7" t="n">
        <v>1</v>
      </c>
      <c r="G690" s="6" t="n">
        <v>19.11</v>
      </c>
      <c r="H690" s="6" t="n">
        <v>2</v>
      </c>
      <c r="I690" s="6" t="n">
        <v>19.11</v>
      </c>
      <c r="J690" s="6" t="n">
        <v>17.11</v>
      </c>
    </row>
    <row collapsed="false" customFormat="false" customHeight="false" hidden="false" ht="12.1" outlineLevel="0" r="691">
      <c r="A691" s="35" t="n">
        <v>46174</v>
      </c>
      <c r="B691" s="16" t="s">
        <v>1375</v>
      </c>
      <c r="C691" s="16" t="s">
        <v>266</v>
      </c>
      <c r="D691" s="16" t="s">
        <v>267</v>
      </c>
      <c r="E691" s="6" t="n">
        <v>1000</v>
      </c>
      <c r="F691" s="7" t="n">
        <v>1</v>
      </c>
      <c r="G691" s="6" t="n">
        <v>29.17</v>
      </c>
      <c r="H691" s="6" t="n">
        <v>4</v>
      </c>
      <c r="I691" s="6" t="n">
        <v>29.17</v>
      </c>
      <c r="J691" s="6" t="n">
        <v>25.17</v>
      </c>
    </row>
    <row collapsed="false" customFormat="false" customHeight="false" hidden="false" ht="12.1" outlineLevel="0" r="692">
      <c r="A692" s="35" t="n">
        <v>46175</v>
      </c>
      <c r="B692" s="16" t="s">
        <v>1375</v>
      </c>
      <c r="C692" s="16" t="s">
        <v>91</v>
      </c>
      <c r="D692" s="16" t="s">
        <v>92</v>
      </c>
      <c r="E692" s="6" t="n">
        <v>1000</v>
      </c>
      <c r="F692" s="7" t="n">
        <v>19</v>
      </c>
      <c r="G692" s="6" t="n">
        <v>48.87</v>
      </c>
      <c r="H692" s="6" t="n">
        <v>121</v>
      </c>
      <c r="I692" s="6" t="n">
        <v>928.53</v>
      </c>
      <c r="J692" s="6" t="n">
        <v>807.53</v>
      </c>
    </row>
    <row collapsed="false" customFormat="false" customHeight="false" hidden="false" ht="12.1" outlineLevel="0" r="693">
      <c r="A693" s="35" t="n">
        <v>46175</v>
      </c>
      <c r="B693" s="16" t="s">
        <v>1375</v>
      </c>
      <c r="C693" s="16" t="s">
        <v>94</v>
      </c>
      <c r="D693" s="16" t="s">
        <v>95</v>
      </c>
      <c r="E693" s="6" t="n">
        <v>1000</v>
      </c>
      <c r="F693" s="7" t="n">
        <v>23</v>
      </c>
      <c r="G693" s="6" t="n">
        <v>35.4</v>
      </c>
      <c r="H693" s="6" t="n">
        <v>106</v>
      </c>
      <c r="I693" s="6" t="n">
        <v>814.2</v>
      </c>
      <c r="J693" s="6" t="n">
        <v>708.2</v>
      </c>
    </row>
    <row collapsed="false" customFormat="false" customHeight="false" hidden="false" ht="12.1" outlineLevel="0" r="694">
      <c r="A694" s="35" t="n">
        <v>46175</v>
      </c>
      <c r="B694" s="16" t="s">
        <v>1375</v>
      </c>
      <c r="C694" s="16" t="s">
        <v>329</v>
      </c>
      <c r="D694" s="16" t="s">
        <v>330</v>
      </c>
      <c r="E694" s="6" t="n">
        <v>1000</v>
      </c>
      <c r="F694" s="7" t="n">
        <v>1</v>
      </c>
      <c r="G694" s="6" t="n">
        <v>19.87</v>
      </c>
      <c r="H694" s="6" t="n">
        <v>3</v>
      </c>
      <c r="I694" s="6" t="n">
        <v>19.87</v>
      </c>
      <c r="J694" s="6" t="n">
        <v>16.87</v>
      </c>
    </row>
    <row collapsed="false" customFormat="false" customHeight="false" hidden="false" ht="12.1" outlineLevel="0" r="695">
      <c r="A695" s="35" t="n">
        <v>46175</v>
      </c>
      <c r="B695" s="16" t="s">
        <v>1375</v>
      </c>
      <c r="C695" s="16" t="s">
        <v>320</v>
      </c>
      <c r="D695" s="16" t="s">
        <v>321</v>
      </c>
      <c r="E695" s="6" t="n">
        <v>1000</v>
      </c>
      <c r="F695" s="7" t="n">
        <v>1</v>
      </c>
      <c r="G695" s="6" t="n">
        <v>19.55</v>
      </c>
      <c r="H695" s="6" t="n">
        <v>3</v>
      </c>
      <c r="I695" s="6" t="n">
        <v>19.55</v>
      </c>
      <c r="J695" s="6" t="n">
        <v>16.55</v>
      </c>
    </row>
    <row collapsed="false" customFormat="false" customHeight="false" hidden="false" ht="12.1" outlineLevel="0" r="696">
      <c r="A696" s="35" t="n">
        <v>46175</v>
      </c>
      <c r="B696" s="16" t="s">
        <v>1375</v>
      </c>
      <c r="C696" s="16" t="s">
        <v>100</v>
      </c>
      <c r="D696" s="16" t="s">
        <v>101</v>
      </c>
      <c r="E696" s="6" t="n">
        <v>1000</v>
      </c>
      <c r="F696" s="7" t="n">
        <v>14</v>
      </c>
      <c r="G696" s="6" t="n">
        <v>61.08</v>
      </c>
      <c r="H696" s="6" t="n">
        <v>111</v>
      </c>
      <c r="I696" s="6" t="n">
        <v>855.12</v>
      </c>
      <c r="J696" s="6" t="n">
        <v>744.12</v>
      </c>
    </row>
    <row collapsed="false" customFormat="false" customHeight="false" hidden="false" ht="12.1" outlineLevel="0" r="697">
      <c r="A697" s="35" t="n">
        <v>46175</v>
      </c>
      <c r="B697" s="16" t="s">
        <v>1375</v>
      </c>
      <c r="C697" s="16" t="s">
        <v>308</v>
      </c>
      <c r="D697" s="16" t="s">
        <v>309</v>
      </c>
      <c r="E697" s="6" t="n">
        <v>1000</v>
      </c>
      <c r="F697" s="7" t="n">
        <v>1</v>
      </c>
      <c r="G697" s="6" t="n">
        <v>56.84</v>
      </c>
      <c r="H697" s="6" t="n">
        <v>7</v>
      </c>
      <c r="I697" s="6" t="n">
        <v>56.84</v>
      </c>
      <c r="J697" s="6" t="n">
        <v>49.84</v>
      </c>
    </row>
    <row collapsed="false" customFormat="false" customHeight="false" hidden="false" ht="12.1" outlineLevel="0" r="698">
      <c r="A698" s="35" t="n">
        <v>46176</v>
      </c>
      <c r="B698" s="16" t="s">
        <v>1375</v>
      </c>
      <c r="C698" s="16" t="s">
        <v>281</v>
      </c>
      <c r="D698" s="16" t="s">
        <v>282</v>
      </c>
      <c r="E698" s="6" t="n">
        <v>1000</v>
      </c>
      <c r="F698" s="7" t="n">
        <v>1</v>
      </c>
      <c r="G698" s="6" t="n">
        <v>35.53</v>
      </c>
      <c r="H698" s="6" t="n">
        <v>5</v>
      </c>
      <c r="I698" s="6" t="n">
        <v>35.53</v>
      </c>
      <c r="J698" s="6" t="n">
        <v>30.53</v>
      </c>
    </row>
    <row collapsed="false" customFormat="false" customHeight="false" hidden="false" ht="12.1" outlineLevel="0" r="699">
      <c r="A699" s="35" t="n">
        <v>46177</v>
      </c>
      <c r="B699" s="16" t="s">
        <v>1375</v>
      </c>
      <c r="C699" s="16" t="s">
        <v>278</v>
      </c>
      <c r="D699" s="16" t="s">
        <v>279</v>
      </c>
      <c r="E699" s="6" t="n">
        <v>1000</v>
      </c>
      <c r="F699" s="7" t="n">
        <v>1</v>
      </c>
      <c r="G699" s="6" t="n">
        <v>14.51</v>
      </c>
      <c r="H699" s="6" t="n">
        <v>2</v>
      </c>
      <c r="I699" s="6" t="n">
        <v>14.51</v>
      </c>
      <c r="J699" s="6" t="n">
        <v>12.51</v>
      </c>
    </row>
    <row collapsed="false" customFormat="false" customHeight="false" hidden="false" ht="12.1" outlineLevel="0" r="700">
      <c r="A700" s="35" t="n">
        <v>46182</v>
      </c>
      <c r="B700" s="16" t="s">
        <v>1375</v>
      </c>
      <c r="C700" s="16" t="s">
        <v>254</v>
      </c>
      <c r="D700" s="16" t="s">
        <v>255</v>
      </c>
      <c r="E700" s="6" t="n">
        <v>1000</v>
      </c>
      <c r="F700" s="7" t="n">
        <v>1</v>
      </c>
      <c r="G700" s="6" t="n">
        <v>11.38</v>
      </c>
      <c r="H700" s="6" t="n">
        <v>1</v>
      </c>
      <c r="I700" s="6" t="n">
        <v>11.38</v>
      </c>
      <c r="J700" s="6" t="n">
        <v>10.38</v>
      </c>
    </row>
    <row collapsed="false" customFormat="false" customHeight="false" hidden="false" ht="12.1" outlineLevel="0" r="701">
      <c r="A701" s="35" t="n">
        <v>46184</v>
      </c>
      <c r="B701" s="16" t="s">
        <v>1375</v>
      </c>
      <c r="C701" s="16" t="s">
        <v>229</v>
      </c>
      <c r="D701" s="16" t="s">
        <v>230</v>
      </c>
      <c r="E701" s="6" t="n">
        <v>1000</v>
      </c>
      <c r="F701" s="7" t="n">
        <v>2</v>
      </c>
      <c r="G701" s="6" t="n">
        <v>17.83</v>
      </c>
      <c r="H701" s="6" t="n">
        <v>5</v>
      </c>
      <c r="I701" s="6" t="n">
        <v>35.66</v>
      </c>
      <c r="J701" s="6" t="n">
        <v>30.66</v>
      </c>
    </row>
    <row collapsed="false" customFormat="false" customHeight="false" hidden="false" ht="12.1" outlineLevel="0" r="702">
      <c r="A702" s="35" t="n">
        <v>46186</v>
      </c>
      <c r="B702" s="16" t="s">
        <v>1375</v>
      </c>
      <c r="C702" s="16" t="s">
        <v>257</v>
      </c>
      <c r="D702" s="16" t="s">
        <v>258</v>
      </c>
      <c r="E702" s="6" t="n">
        <v>1000</v>
      </c>
      <c r="F702" s="7" t="n">
        <v>1</v>
      </c>
      <c r="G702" s="6" t="n">
        <v>14.48</v>
      </c>
      <c r="H702" s="6" t="n">
        <v>2</v>
      </c>
      <c r="I702" s="6" t="n">
        <v>14.48</v>
      </c>
      <c r="J702" s="6" t="n">
        <v>12.48</v>
      </c>
    </row>
    <row collapsed="false" customFormat="false" customHeight="false" hidden="false" ht="12.1" outlineLevel="0" r="703">
      <c r="A703" s="35" t="n">
        <v>46188</v>
      </c>
      <c r="B703" s="16" t="s">
        <v>1375</v>
      </c>
      <c r="C703" s="16" t="s">
        <v>246</v>
      </c>
      <c r="D703" s="16" t="s">
        <v>247</v>
      </c>
      <c r="E703" s="6" t="n">
        <v>1000</v>
      </c>
      <c r="F703" s="7" t="n">
        <v>1</v>
      </c>
      <c r="G703" s="6" t="n">
        <v>20.96</v>
      </c>
      <c r="H703" s="6" t="n">
        <v>3</v>
      </c>
      <c r="I703" s="6" t="n">
        <v>20.96</v>
      </c>
      <c r="J703" s="6" t="n">
        <v>17.96</v>
      </c>
    </row>
    <row collapsed="false" customFormat="false" customHeight="false" hidden="false" ht="12.1" outlineLevel="0" r="704">
      <c r="A704" s="35" t="n">
        <v>46189</v>
      </c>
      <c r="B704" s="16" t="s">
        <v>1375</v>
      </c>
      <c r="C704" s="16" t="s">
        <v>323</v>
      </c>
      <c r="D704" s="16" t="s">
        <v>324</v>
      </c>
      <c r="E704" s="6" t="n">
        <v>1000</v>
      </c>
      <c r="F704" s="7" t="n">
        <v>1</v>
      </c>
      <c r="G704" s="6" t="n">
        <v>11.18</v>
      </c>
      <c r="H704" s="6" t="n">
        <v>1</v>
      </c>
      <c r="I704" s="6" t="n">
        <v>11.18</v>
      </c>
      <c r="J704" s="6" t="n">
        <v>10.18</v>
      </c>
    </row>
    <row collapsed="false" customFormat="false" customHeight="false" hidden="false" ht="12.1" outlineLevel="0" r="705">
      <c r="A705" s="35" t="n">
        <v>46189</v>
      </c>
      <c r="B705" s="16" t="s">
        <v>1375</v>
      </c>
      <c r="C705" s="16" t="s">
        <v>88</v>
      </c>
      <c r="D705" s="16" t="s">
        <v>89</v>
      </c>
      <c r="E705" s="6" t="n">
        <v>1000</v>
      </c>
      <c r="F705" s="7" t="n">
        <v>14</v>
      </c>
      <c r="G705" s="6" t="n">
        <v>95.44</v>
      </c>
      <c r="H705" s="6" t="n">
        <v>174</v>
      </c>
      <c r="I705" s="6" t="n">
        <v>1336.16</v>
      </c>
      <c r="J705" s="6" t="n">
        <v>1162.16</v>
      </c>
    </row>
    <row collapsed="false" customFormat="false" customHeight="false" hidden="false" ht="12.1" outlineLevel="0" r="706">
      <c r="A706" s="35" t="n">
        <v>46191</v>
      </c>
      <c r="B706" s="16" t="s">
        <v>1375</v>
      </c>
      <c r="C706" s="16" t="s">
        <v>202</v>
      </c>
      <c r="D706" s="16" t="s">
        <v>203</v>
      </c>
      <c r="E706" s="6" t="n">
        <v>1000</v>
      </c>
      <c r="F706" s="7" t="n">
        <v>2</v>
      </c>
      <c r="G706" s="6" t="n">
        <v>13.64</v>
      </c>
      <c r="H706" s="6" t="n">
        <v>4</v>
      </c>
      <c r="I706" s="6" t="n">
        <v>27.28</v>
      </c>
      <c r="J706" s="6" t="n">
        <v>23.28</v>
      </c>
    </row>
    <row collapsed="false" customFormat="false" customHeight="false" hidden="false" ht="12.1" outlineLevel="0" r="707">
      <c r="A707" s="35" t="n">
        <v>46192</v>
      </c>
      <c r="B707" s="16" t="s">
        <v>1375</v>
      </c>
      <c r="C707" s="16" t="s">
        <v>190</v>
      </c>
      <c r="D707" s="16" t="s">
        <v>191</v>
      </c>
      <c r="E707" s="6" t="n">
        <v>1000</v>
      </c>
      <c r="F707" s="7" t="n">
        <v>2</v>
      </c>
      <c r="G707" s="6" t="n">
        <v>13.77</v>
      </c>
      <c r="H707" s="6" t="n">
        <v>4</v>
      </c>
      <c r="I707" s="6" t="n">
        <v>27.54</v>
      </c>
      <c r="J707" s="6" t="n">
        <v>23.54</v>
      </c>
    </row>
    <row collapsed="false" customFormat="false" customHeight="false" hidden="false" ht="12.1" outlineLevel="0" r="708">
      <c r="A708" s="35" t="n">
        <v>46193</v>
      </c>
      <c r="B708" s="16" t="s">
        <v>1375</v>
      </c>
      <c r="C708" s="16" t="s">
        <v>263</v>
      </c>
      <c r="D708" s="16" t="s">
        <v>264</v>
      </c>
      <c r="E708" s="6" t="n">
        <v>1000</v>
      </c>
      <c r="F708" s="7" t="n">
        <v>1</v>
      </c>
      <c r="G708" s="6" t="n">
        <v>12.66</v>
      </c>
      <c r="H708" s="6" t="n">
        <v>2</v>
      </c>
      <c r="I708" s="6" t="n">
        <v>12.66</v>
      </c>
      <c r="J708" s="6" t="n">
        <v>10.66</v>
      </c>
    </row>
    <row collapsed="false" customFormat="false" customHeight="false" hidden="false" ht="12.1" outlineLevel="0" r="709">
      <c r="A709" s="35" t="n">
        <v>46194</v>
      </c>
      <c r="B709" s="16" t="s">
        <v>1375</v>
      </c>
      <c r="C709" s="16" t="s">
        <v>243</v>
      </c>
      <c r="D709" s="16" t="s">
        <v>244</v>
      </c>
      <c r="E709" s="6" t="n">
        <v>1000</v>
      </c>
      <c r="F709" s="7" t="n">
        <v>1</v>
      </c>
      <c r="G709" s="6" t="n">
        <v>14.79</v>
      </c>
      <c r="H709" s="6" t="n">
        <v>2</v>
      </c>
      <c r="I709" s="6" t="n">
        <v>14.79</v>
      </c>
      <c r="J709" s="6" t="n">
        <v>12.79</v>
      </c>
    </row>
    <row collapsed="false" customFormat="false" customHeight="false" hidden="false" ht="12.1" outlineLevel="0" r="710">
      <c r="A710" s="35" t="n">
        <v>46195</v>
      </c>
      <c r="B710" s="16" t="s">
        <v>1375</v>
      </c>
      <c r="C710" s="16" t="s">
        <v>249</v>
      </c>
      <c r="D710" s="16" t="s">
        <v>250</v>
      </c>
      <c r="E710" s="6" t="n">
        <v>1000</v>
      </c>
      <c r="F710" s="7" t="n">
        <v>1</v>
      </c>
      <c r="G710" s="6" t="n">
        <v>11.42</v>
      </c>
      <c r="H710" s="6" t="n">
        <v>1</v>
      </c>
      <c r="I710" s="6" t="n">
        <v>11.42</v>
      </c>
      <c r="J710" s="6" t="n">
        <v>10.42</v>
      </c>
    </row>
    <row collapsed="false" customFormat="false" customHeight="false" hidden="false" ht="12.1" outlineLevel="0" r="711">
      <c r="A711" s="35" t="n">
        <v>46195</v>
      </c>
      <c r="B711" s="16" t="s">
        <v>1375</v>
      </c>
      <c r="C711" s="16" t="s">
        <v>317</v>
      </c>
      <c r="D711" s="16" t="s">
        <v>318</v>
      </c>
      <c r="E711" s="6" t="n">
        <v>1000</v>
      </c>
      <c r="F711" s="7" t="n">
        <v>1</v>
      </c>
      <c r="G711" s="6" t="n">
        <v>14.28</v>
      </c>
      <c r="H711" s="6" t="n">
        <v>2</v>
      </c>
      <c r="I711" s="6" t="n">
        <v>14.28</v>
      </c>
      <c r="J711" s="6" t="n">
        <v>12.28</v>
      </c>
    </row>
    <row collapsed="false" customFormat="false" customHeight="false" hidden="false" ht="12.1" outlineLevel="0" r="712">
      <c r="A712" s="35" t="n">
        <v>46195</v>
      </c>
      <c r="B712" s="16" t="s">
        <v>1375</v>
      </c>
      <c r="C712" s="16" t="s">
        <v>252</v>
      </c>
      <c r="D712" s="16" t="s">
        <v>253</v>
      </c>
      <c r="E712" s="6" t="n">
        <v>1000</v>
      </c>
      <c r="F712" s="7" t="n">
        <v>1</v>
      </c>
      <c r="G712" s="6" t="n">
        <v>17.04</v>
      </c>
      <c r="H712" s="6" t="n">
        <v>2</v>
      </c>
      <c r="I712" s="6" t="n">
        <v>17.04</v>
      </c>
      <c r="J712" s="6" t="n">
        <v>15.04</v>
      </c>
    </row>
    <row collapsed="false" customFormat="false" customHeight="false" hidden="false" ht="12.1" outlineLevel="0" r="713">
      <c r="A713" s="35" t="n">
        <v>46196</v>
      </c>
      <c r="B713" s="16" t="s">
        <v>1375</v>
      </c>
      <c r="C713" s="16" t="s">
        <v>145</v>
      </c>
      <c r="D713" s="16" t="s">
        <v>146</v>
      </c>
      <c r="E713" s="6" t="n">
        <v>1000</v>
      </c>
      <c r="F713" s="7" t="n">
        <v>6</v>
      </c>
      <c r="G713" s="6" t="n">
        <v>59.84</v>
      </c>
      <c r="H713" s="6" t="n">
        <v>47</v>
      </c>
      <c r="I713" s="6" t="n">
        <v>359.04</v>
      </c>
      <c r="J713" s="6" t="n">
        <v>312.04</v>
      </c>
    </row>
    <row collapsed="false" customFormat="false" customHeight="false" hidden="false" ht="12.1" outlineLevel="0" r="714">
      <c r="A714" s="35" t="n">
        <v>46196</v>
      </c>
      <c r="B714" s="16" t="s">
        <v>1375</v>
      </c>
      <c r="C714" s="16" t="s">
        <v>148</v>
      </c>
      <c r="D714" s="16" t="s">
        <v>149</v>
      </c>
      <c r="E714" s="6" t="n">
        <v>1000</v>
      </c>
      <c r="F714" s="7" t="n">
        <v>6</v>
      </c>
      <c r="G714" s="6" t="n">
        <v>54.85</v>
      </c>
      <c r="H714" s="6" t="n">
        <v>43</v>
      </c>
      <c r="I714" s="6" t="n">
        <v>329.1</v>
      </c>
      <c r="J714" s="6" t="n">
        <v>286.1</v>
      </c>
    </row>
    <row collapsed="false" customFormat="false" customHeight="false" hidden="false" ht="12.1" outlineLevel="0" r="715">
      <c r="A715" s="35" t="n">
        <v>46196</v>
      </c>
      <c r="B715" s="16" t="s">
        <v>1375</v>
      </c>
      <c r="C715" s="16" t="s">
        <v>184</v>
      </c>
      <c r="D715" s="16" t="s">
        <v>185</v>
      </c>
      <c r="E715" s="6" t="n">
        <v>1000</v>
      </c>
      <c r="F715" s="7" t="n">
        <v>2</v>
      </c>
      <c r="G715" s="6" t="n">
        <v>13.68</v>
      </c>
      <c r="H715" s="6" t="n">
        <v>4</v>
      </c>
      <c r="I715" s="6" t="n">
        <v>27.36</v>
      </c>
      <c r="J715" s="6" t="n">
        <v>23.36</v>
      </c>
    </row>
    <row collapsed="false" customFormat="false" customHeight="false" hidden="false" ht="12.1" outlineLevel="0" r="716">
      <c r="A716" s="35" t="n">
        <v>46198</v>
      </c>
      <c r="B716" s="16" t="s">
        <v>1375</v>
      </c>
      <c r="C716" s="16" t="s">
        <v>296</v>
      </c>
      <c r="D716" s="16" t="s">
        <v>297</v>
      </c>
      <c r="E716" s="6" t="n">
        <v>500</v>
      </c>
      <c r="F716" s="7" t="n">
        <v>2</v>
      </c>
      <c r="G716" s="6" t="n">
        <v>16.45</v>
      </c>
      <c r="H716" s="6" t="n">
        <v>4</v>
      </c>
      <c r="I716" s="6" t="n">
        <v>32.9</v>
      </c>
      <c r="J716" s="6" t="n">
        <v>28.9</v>
      </c>
    </row>
    <row collapsed="false" customFormat="false" customHeight="false" hidden="false" ht="12.1" outlineLevel="0" r="717">
      <c r="A717" s="35" t="n">
        <v>46199</v>
      </c>
      <c r="B717" s="16" t="s">
        <v>1375</v>
      </c>
      <c r="C717" s="16" t="s">
        <v>193</v>
      </c>
      <c r="D717" s="16" t="s">
        <v>194</v>
      </c>
      <c r="E717" s="6" t="n">
        <v>1000</v>
      </c>
      <c r="F717" s="7" t="n">
        <v>2</v>
      </c>
      <c r="G717" s="6" t="n">
        <v>12.95</v>
      </c>
      <c r="H717" s="6" t="n">
        <v>3</v>
      </c>
      <c r="I717" s="6" t="n">
        <v>25.9</v>
      </c>
      <c r="J717" s="6" t="n">
        <v>22.9</v>
      </c>
    </row>
    <row collapsed="false" customFormat="false" customHeight="false" hidden="false" ht="12.1" outlineLevel="0" r="718">
      <c r="A718" s="35" t="n">
        <v>46201</v>
      </c>
      <c r="B718" s="16" t="s">
        <v>1375</v>
      </c>
      <c r="C718" s="16" t="s">
        <v>181</v>
      </c>
      <c r="D718" s="16" t="s">
        <v>182</v>
      </c>
      <c r="E718" s="6" t="n">
        <v>1000</v>
      </c>
      <c r="F718" s="7" t="n">
        <v>2</v>
      </c>
      <c r="G718" s="6" t="n">
        <v>13.15</v>
      </c>
      <c r="H718" s="6" t="n">
        <v>3</v>
      </c>
      <c r="I718" s="6" t="n">
        <v>26.3</v>
      </c>
      <c r="J718" s="6" t="n">
        <v>23.3</v>
      </c>
    </row>
    <row collapsed="false" customFormat="false" customHeight="false" hidden="false" ht="12.1" outlineLevel="0" r="719">
      <c r="A719" s="35" t="n">
        <v>46203</v>
      </c>
      <c r="B719" s="16" t="s">
        <v>1375</v>
      </c>
      <c r="C719" s="16" t="s">
        <v>232</v>
      </c>
      <c r="D719" s="16" t="s">
        <v>233</v>
      </c>
      <c r="E719" s="6" t="n">
        <v>1000</v>
      </c>
      <c r="F719" s="7" t="n">
        <v>2</v>
      </c>
      <c r="G719" s="6" t="n">
        <v>1.64</v>
      </c>
      <c r="H719" s="6" t="n">
        <v>0</v>
      </c>
      <c r="I719" s="6" t="n">
        <v>3.28</v>
      </c>
      <c r="J719" s="6" t="n">
        <v>3.28</v>
      </c>
    </row>
    <row collapsed="false" customFormat="false" customHeight="false" hidden="false" ht="12.1" outlineLevel="0" r="720">
      <c r="A720" s="35" t="n">
        <v>46204</v>
      </c>
      <c r="B720" s="16" t="s">
        <v>1375</v>
      </c>
      <c r="C720" s="16" t="s">
        <v>234</v>
      </c>
      <c r="D720" s="16" t="s">
        <v>235</v>
      </c>
      <c r="E720" s="6" t="n">
        <v>1000</v>
      </c>
      <c r="F720" s="7" t="n">
        <v>1</v>
      </c>
      <c r="G720" s="6" t="n">
        <v>19.11</v>
      </c>
      <c r="H720" s="6" t="n">
        <v>2</v>
      </c>
      <c r="I720" s="6" t="n">
        <v>19.11</v>
      </c>
      <c r="J720" s="6" t="n">
        <v>17.11</v>
      </c>
    </row>
    <row collapsed="false" customFormat="false" customHeight="false" hidden="false" ht="12.1" outlineLevel="0" r="721">
      <c r="A721" s="35" t="n">
        <v>46208</v>
      </c>
      <c r="B721" s="16" t="s">
        <v>1375</v>
      </c>
      <c r="C721" s="16" t="s">
        <v>278</v>
      </c>
      <c r="D721" s="16" t="s">
        <v>279</v>
      </c>
      <c r="E721" s="6" t="n">
        <v>1000</v>
      </c>
      <c r="F721" s="7" t="n">
        <v>1</v>
      </c>
      <c r="G721" s="6" t="n">
        <v>14.51</v>
      </c>
      <c r="H721" s="6" t="n">
        <v>2</v>
      </c>
      <c r="I721" s="6" t="n">
        <v>14.51</v>
      </c>
      <c r="J721" s="6" t="n">
        <v>12.51</v>
      </c>
    </row>
    <row collapsed="false" customFormat="false" customHeight="false" hidden="false" ht="12.1" outlineLevel="0" r="722">
      <c r="A722" s="35" t="n">
        <v>46208</v>
      </c>
      <c r="B722" s="16" t="s">
        <v>1375</v>
      </c>
      <c r="C722" s="16" t="s">
        <v>326</v>
      </c>
      <c r="D722" s="16" t="s">
        <v>327</v>
      </c>
      <c r="E722" s="6" t="n">
        <v>1000</v>
      </c>
      <c r="F722" s="7" t="n">
        <v>1</v>
      </c>
      <c r="G722" s="6" t="n">
        <v>44.88</v>
      </c>
      <c r="H722" s="6" t="n">
        <v>6</v>
      </c>
      <c r="I722" s="6" t="n">
        <v>44.88</v>
      </c>
      <c r="J722" s="6" t="n">
        <v>38.88</v>
      </c>
    </row>
    <row collapsed="false" customFormat="false" customHeight="false" hidden="false" ht="12.1" outlineLevel="0" r="723">
      <c r="A723" s="35" t="n">
        <v>46212</v>
      </c>
      <c r="B723" s="16" t="s">
        <v>1375</v>
      </c>
      <c r="C723" s="16" t="s">
        <v>254</v>
      </c>
      <c r="D723" s="16" t="s">
        <v>255</v>
      </c>
      <c r="E723" s="6" t="n">
        <v>1000</v>
      </c>
      <c r="F723" s="7" t="n">
        <v>1</v>
      </c>
      <c r="G723" s="6" t="n">
        <v>11.38</v>
      </c>
      <c r="H723" s="6" t="n">
        <v>1</v>
      </c>
      <c r="I723" s="6" t="n">
        <v>11.38</v>
      </c>
      <c r="J723" s="6" t="n">
        <v>10.38</v>
      </c>
    </row>
    <row collapsed="false" customFormat="false" customHeight="false" hidden="false" ht="12.1" outlineLevel="0" r="724">
      <c r="A724" s="35" t="n">
        <v>46216</v>
      </c>
      <c r="B724" s="16" t="s">
        <v>1375</v>
      </c>
      <c r="C724" s="16" t="s">
        <v>217</v>
      </c>
      <c r="D724" s="16" t="s">
        <v>218</v>
      </c>
      <c r="E724" s="6" t="n">
        <v>1000</v>
      </c>
      <c r="F724" s="7" t="n">
        <v>2</v>
      </c>
      <c r="G724" s="6" t="n">
        <v>24.93</v>
      </c>
      <c r="H724" s="6" t="n">
        <v>6</v>
      </c>
      <c r="I724" s="6" t="n">
        <v>49.86</v>
      </c>
      <c r="J724" s="6" t="n">
        <v>43.86</v>
      </c>
    </row>
    <row collapsed="false" customFormat="false" customHeight="false" hidden="false" ht="12.1" outlineLevel="0" r="725">
      <c r="A725" s="35" t="n">
        <v>46217</v>
      </c>
      <c r="B725" s="16" t="s">
        <v>1375</v>
      </c>
      <c r="C725" s="16" t="s">
        <v>305</v>
      </c>
      <c r="D725" s="16" t="s">
        <v>306</v>
      </c>
      <c r="E725" s="6" t="n">
        <v>1000</v>
      </c>
      <c r="F725" s="7" t="n">
        <v>1</v>
      </c>
      <c r="G725" s="6" t="n">
        <v>26.18</v>
      </c>
      <c r="H725" s="6" t="n">
        <v>3</v>
      </c>
      <c r="I725" s="6" t="n">
        <v>26.18</v>
      </c>
      <c r="J725" s="6" t="n">
        <v>23.18</v>
      </c>
    </row>
    <row collapsed="false" customFormat="false" customHeight="false" hidden="false" ht="12.1" outlineLevel="0" r="726">
      <c r="A726" s="35" t="n">
        <v>46217</v>
      </c>
      <c r="B726" s="16" t="s">
        <v>1375</v>
      </c>
      <c r="C726" s="16" t="s">
        <v>257</v>
      </c>
      <c r="D726" s="16" t="s">
        <v>258</v>
      </c>
      <c r="E726" s="6" t="n">
        <v>1000</v>
      </c>
      <c r="F726" s="7" t="n">
        <v>1</v>
      </c>
      <c r="G726" s="6" t="n">
        <v>14.48</v>
      </c>
      <c r="H726" s="6" t="n">
        <v>2</v>
      </c>
      <c r="I726" s="6" t="n">
        <v>14.48</v>
      </c>
      <c r="J726" s="6" t="n">
        <v>12.48</v>
      </c>
    </row>
    <row collapsed="false" customFormat="false" customHeight="false" hidden="false" ht="12.1" outlineLevel="0" r="727">
      <c r="A727" s="35" t="n">
        <v>46218</v>
      </c>
      <c r="B727" s="16" t="s">
        <v>1375</v>
      </c>
      <c r="C727" s="16" t="s">
        <v>178</v>
      </c>
      <c r="D727" s="16" t="s">
        <v>179</v>
      </c>
      <c r="E727" s="6" t="n">
        <v>1000</v>
      </c>
      <c r="F727" s="7" t="n">
        <v>2</v>
      </c>
      <c r="G727" s="6" t="n">
        <v>43.13</v>
      </c>
      <c r="H727" s="6" t="n">
        <v>11</v>
      </c>
      <c r="I727" s="6" t="n">
        <v>86.26</v>
      </c>
      <c r="J727" s="6" t="n">
        <v>75.26</v>
      </c>
    </row>
    <row collapsed="false" customFormat="false" customHeight="false" hidden="false" ht="12.1" outlineLevel="0" r="728">
      <c r="A728" s="35" t="n">
        <v>46218</v>
      </c>
      <c r="B728" s="16" t="s">
        <v>1375</v>
      </c>
      <c r="C728" s="16" t="s">
        <v>246</v>
      </c>
      <c r="D728" s="16" t="s">
        <v>247</v>
      </c>
      <c r="E728" s="6" t="n">
        <v>1000</v>
      </c>
      <c r="F728" s="7" t="n">
        <v>1</v>
      </c>
      <c r="G728" s="6" t="n">
        <v>20.96</v>
      </c>
      <c r="H728" s="6" t="n">
        <v>3</v>
      </c>
      <c r="I728" s="6" t="n">
        <v>20.96</v>
      </c>
      <c r="J728" s="6" t="n">
        <v>17.96</v>
      </c>
    </row>
    <row collapsed="false" customFormat="false" customHeight="false" hidden="false" ht="12.1" outlineLevel="0" r="729">
      <c r="A729" s="35" t="n">
        <v>46218</v>
      </c>
      <c r="B729" s="16" t="s">
        <v>1375</v>
      </c>
      <c r="C729" s="16" t="s">
        <v>302</v>
      </c>
      <c r="D729" s="16" t="s">
        <v>303</v>
      </c>
      <c r="E729" s="6" t="n">
        <v>1000</v>
      </c>
      <c r="F729" s="7" t="n">
        <v>1</v>
      </c>
      <c r="G729" s="6" t="n">
        <v>50.86</v>
      </c>
      <c r="H729" s="6" t="n">
        <v>7</v>
      </c>
      <c r="I729" s="6" t="n">
        <v>50.86</v>
      </c>
      <c r="J729" s="6" t="n">
        <v>43.86</v>
      </c>
    </row>
    <row collapsed="false" customFormat="false" customHeight="false" hidden="false" ht="12.1" outlineLevel="0" r="730">
      <c r="A730" s="35" t="n">
        <v>46219</v>
      </c>
      <c r="B730" s="16" t="s">
        <v>1375</v>
      </c>
      <c r="C730" s="16" t="s">
        <v>323</v>
      </c>
      <c r="D730" s="16" t="s">
        <v>324</v>
      </c>
      <c r="E730" s="6" t="n">
        <v>1000</v>
      </c>
      <c r="F730" s="7" t="n">
        <v>1</v>
      </c>
      <c r="G730" s="6" t="n">
        <v>8.38</v>
      </c>
      <c r="H730" s="6" t="n">
        <v>1</v>
      </c>
      <c r="I730" s="6" t="n">
        <v>8.38</v>
      </c>
      <c r="J730" s="6" t="n">
        <v>7.38</v>
      </c>
    </row>
    <row collapsed="false" customFormat="false" customHeight="false" hidden="false" ht="12.1" outlineLevel="0" r="731">
      <c r="A731" s="35" t="n">
        <v>46221</v>
      </c>
      <c r="B731" s="16" t="s">
        <v>1375</v>
      </c>
      <c r="C731" s="16" t="s">
        <v>202</v>
      </c>
      <c r="D731" s="16" t="s">
        <v>203</v>
      </c>
      <c r="E731" s="6" t="n">
        <v>1000</v>
      </c>
      <c r="F731" s="7" t="n">
        <v>2</v>
      </c>
      <c r="G731" s="6" t="n">
        <v>13.64</v>
      </c>
      <c r="H731" s="6" t="n">
        <v>4</v>
      </c>
      <c r="I731" s="6" t="n">
        <v>27.28</v>
      </c>
      <c r="J731" s="6" t="n">
        <v>23.28</v>
      </c>
    </row>
    <row collapsed="false" customFormat="false" customHeight="false" hidden="false" ht="12.1" outlineLevel="0" r="732">
      <c r="A732" s="35" t="n">
        <v>46222</v>
      </c>
      <c r="B732" s="16" t="s">
        <v>1375</v>
      </c>
      <c r="C732" s="16" t="s">
        <v>190</v>
      </c>
      <c r="D732" s="16" t="s">
        <v>191</v>
      </c>
      <c r="E732" s="6" t="n">
        <v>1000</v>
      </c>
      <c r="F732" s="7" t="n">
        <v>2</v>
      </c>
      <c r="G732" s="6" t="n">
        <v>13.77</v>
      </c>
      <c r="H732" s="6" t="n">
        <v>4</v>
      </c>
      <c r="I732" s="6" t="n">
        <v>27.54</v>
      </c>
      <c r="J732" s="6" t="n">
        <v>23.54</v>
      </c>
    </row>
    <row collapsed="false" customFormat="false" customHeight="false" hidden="false" ht="12.1" outlineLevel="0" r="733">
      <c r="A733" s="35" t="n">
        <v>46222</v>
      </c>
      <c r="B733" s="16" t="s">
        <v>1375</v>
      </c>
      <c r="C733" s="16" t="s">
        <v>214</v>
      </c>
      <c r="D733" s="16" t="s">
        <v>215</v>
      </c>
      <c r="E733" s="6" t="n">
        <v>1000</v>
      </c>
      <c r="F733" s="7" t="n">
        <v>2</v>
      </c>
      <c r="G733" s="6" t="n">
        <v>54.35</v>
      </c>
      <c r="H733" s="6" t="n">
        <v>14</v>
      </c>
      <c r="I733" s="6" t="n">
        <v>108.7</v>
      </c>
      <c r="J733" s="6" t="n">
        <v>94.7</v>
      </c>
    </row>
    <row collapsed="false" customFormat="false" customHeight="false" hidden="false" ht="12.1" outlineLevel="0" r="734">
      <c r="A734" s="35" t="n">
        <v>46223</v>
      </c>
      <c r="B734" s="16" t="s">
        <v>1375</v>
      </c>
      <c r="C734" s="16" t="s">
        <v>263</v>
      </c>
      <c r="D734" s="16" t="s">
        <v>264</v>
      </c>
      <c r="E734" s="6" t="n">
        <v>1000</v>
      </c>
      <c r="F734" s="7" t="n">
        <v>1</v>
      </c>
      <c r="G734" s="6" t="n">
        <v>12.66</v>
      </c>
      <c r="H734" s="6" t="n">
        <v>2</v>
      </c>
      <c r="I734" s="6" t="n">
        <v>12.66</v>
      </c>
      <c r="J734" s="6" t="n">
        <v>10.66</v>
      </c>
    </row>
    <row collapsed="false" customFormat="false" customHeight="false" hidden="false" ht="12.1" outlineLevel="0" r="735">
      <c r="A735" s="35" t="n">
        <v>46224</v>
      </c>
      <c r="B735" s="16" t="s">
        <v>1375</v>
      </c>
      <c r="C735" s="16" t="s">
        <v>243</v>
      </c>
      <c r="D735" s="16" t="s">
        <v>244</v>
      </c>
      <c r="E735" s="6" t="n">
        <v>1000</v>
      </c>
      <c r="F735" s="7" t="n">
        <v>1</v>
      </c>
      <c r="G735" s="6" t="n">
        <v>14.79</v>
      </c>
      <c r="H735" s="6" t="n">
        <v>2</v>
      </c>
      <c r="I735" s="6" t="n">
        <v>14.79</v>
      </c>
      <c r="J735" s="6" t="n">
        <v>12.79</v>
      </c>
    </row>
    <row collapsed="false" customFormat="false" customHeight="false" hidden="false" ht="12.1" outlineLevel="0" r="736">
      <c r="A736" s="35" t="n">
        <v>46224</v>
      </c>
      <c r="B736" s="16" t="s">
        <v>1375</v>
      </c>
      <c r="C736" s="16" t="s">
        <v>272</v>
      </c>
      <c r="D736" s="16" t="s">
        <v>273</v>
      </c>
      <c r="E736" s="6" t="n">
        <v>1000</v>
      </c>
      <c r="F736" s="7" t="n">
        <v>1</v>
      </c>
      <c r="G736" s="6" t="n">
        <v>44.13</v>
      </c>
      <c r="H736" s="6" t="n">
        <v>6</v>
      </c>
      <c r="I736" s="6" t="n">
        <v>44.13</v>
      </c>
      <c r="J736" s="6" t="n">
        <v>38.13</v>
      </c>
    </row>
    <row collapsed="false" customFormat="false" customHeight="false" hidden="false" ht="12.1" outlineLevel="0" r="737">
      <c r="A737" s="35" t="n">
        <v>46224</v>
      </c>
      <c r="B737" s="16" t="s">
        <v>1375</v>
      </c>
      <c r="C737" s="16" t="s">
        <v>287</v>
      </c>
      <c r="D737" s="16" t="s">
        <v>288</v>
      </c>
      <c r="E737" s="6" t="n">
        <v>1000</v>
      </c>
      <c r="F737" s="7" t="n">
        <v>1</v>
      </c>
      <c r="G737" s="6" t="n">
        <v>43.38</v>
      </c>
      <c r="H737" s="6" t="n">
        <v>6</v>
      </c>
      <c r="I737" s="6" t="n">
        <v>43.38</v>
      </c>
      <c r="J737" s="6" t="n">
        <v>37.38</v>
      </c>
    </row>
    <row collapsed="false" customFormat="false" customHeight="false" hidden="false" ht="12.1" outlineLevel="0" r="738">
      <c r="A738" s="35" t="n">
        <v>46225</v>
      </c>
      <c r="B738" s="16" t="s">
        <v>1375</v>
      </c>
      <c r="C738" s="16" t="s">
        <v>252</v>
      </c>
      <c r="D738" s="16" t="s">
        <v>253</v>
      </c>
      <c r="E738" s="6" t="n">
        <v>1000</v>
      </c>
      <c r="F738" s="7" t="n">
        <v>1</v>
      </c>
      <c r="G738" s="6" t="n">
        <v>17.04</v>
      </c>
      <c r="H738" s="6" t="n">
        <v>2</v>
      </c>
      <c r="I738" s="6" t="n">
        <v>17.04</v>
      </c>
      <c r="J738" s="6" t="n">
        <v>15.04</v>
      </c>
    </row>
    <row collapsed="false" customFormat="false" customHeight="false" hidden="false" ht="12.1" outlineLevel="0" r="739">
      <c r="A739" s="35" t="n">
        <v>46225</v>
      </c>
      <c r="B739" s="16" t="s">
        <v>1375</v>
      </c>
      <c r="C739" s="16" t="s">
        <v>249</v>
      </c>
      <c r="D739" s="16" t="s">
        <v>250</v>
      </c>
      <c r="E739" s="6" t="n">
        <v>1000</v>
      </c>
      <c r="F739" s="7" t="n">
        <v>1</v>
      </c>
      <c r="G739" s="6" t="n">
        <v>11.42</v>
      </c>
      <c r="H739" s="6" t="n">
        <v>1</v>
      </c>
      <c r="I739" s="6" t="n">
        <v>11.42</v>
      </c>
      <c r="J739" s="6" t="n">
        <v>10.42</v>
      </c>
    </row>
    <row collapsed="false" customFormat="false" customHeight="false" hidden="false" ht="12.1" outlineLevel="0" r="740">
      <c r="A740" s="35" t="n">
        <v>46226</v>
      </c>
      <c r="B740" s="16" t="s">
        <v>1375</v>
      </c>
      <c r="C740" s="16" t="s">
        <v>317</v>
      </c>
      <c r="D740" s="16" t="s">
        <v>318</v>
      </c>
      <c r="E740" s="6" t="n">
        <v>1000</v>
      </c>
      <c r="F740" s="7" t="n">
        <v>1</v>
      </c>
      <c r="G740" s="6" t="n">
        <v>14.28</v>
      </c>
      <c r="H740" s="6" t="n">
        <v>2</v>
      </c>
      <c r="I740" s="6" t="n">
        <v>14.28</v>
      </c>
      <c r="J740" s="6" t="n">
        <v>12.28</v>
      </c>
    </row>
    <row collapsed="false" customFormat="false" customHeight="false" hidden="false" ht="12.1" outlineLevel="0" r="741">
      <c r="A741" s="35" t="n">
        <v>46226</v>
      </c>
      <c r="B741" s="16" t="s">
        <v>1375</v>
      </c>
      <c r="C741" s="16" t="s">
        <v>184</v>
      </c>
      <c r="D741" s="16" t="s">
        <v>185</v>
      </c>
      <c r="E741" s="6" t="n">
        <v>1000</v>
      </c>
      <c r="F741" s="7" t="n">
        <v>2</v>
      </c>
      <c r="G741" s="6" t="n">
        <v>13.68</v>
      </c>
      <c r="H741" s="6" t="n">
        <v>4</v>
      </c>
      <c r="I741" s="6" t="n">
        <v>27.36</v>
      </c>
      <c r="J741" s="6" t="n">
        <v>23.36</v>
      </c>
    </row>
    <row collapsed="false" customFormat="false" customHeight="false" hidden="false" ht="12.1" outlineLevel="0" r="742">
      <c r="A742" s="35" t="n">
        <v>46229</v>
      </c>
      <c r="B742" s="16" t="s">
        <v>1375</v>
      </c>
      <c r="C742" s="16" t="s">
        <v>193</v>
      </c>
      <c r="D742" s="16" t="s">
        <v>194</v>
      </c>
      <c r="E742" s="6" t="n">
        <v>1000</v>
      </c>
      <c r="F742" s="7" t="n">
        <v>2</v>
      </c>
      <c r="G742" s="6" t="n">
        <v>12.95</v>
      </c>
      <c r="H742" s="6" t="n">
        <v>3</v>
      </c>
      <c r="I742" s="6" t="n">
        <v>25.9</v>
      </c>
      <c r="J742" s="6" t="n">
        <v>22.9</v>
      </c>
    </row>
    <row collapsed="false" customFormat="false" customHeight="false" hidden="false" ht="12.1" outlineLevel="0" r="743">
      <c r="A743" s="35" t="n">
        <v>46230</v>
      </c>
      <c r="B743" s="16" t="s">
        <v>1375</v>
      </c>
      <c r="C743" s="16" t="s">
        <v>226</v>
      </c>
      <c r="D743" s="16" t="s">
        <v>227</v>
      </c>
      <c r="E743" s="6" t="n">
        <v>875</v>
      </c>
      <c r="F743" s="7" t="n">
        <v>2</v>
      </c>
      <c r="G743" s="6" t="n">
        <v>21.88</v>
      </c>
      <c r="H743" s="6" t="n">
        <v>6</v>
      </c>
      <c r="I743" s="6" t="n">
        <v>43.76</v>
      </c>
      <c r="J743" s="6" t="n">
        <v>37.76</v>
      </c>
    </row>
    <row collapsed="false" customFormat="false" customHeight="false" hidden="false" ht="12.1" outlineLevel="0" r="744">
      <c r="A744" s="35" t="n">
        <v>46230</v>
      </c>
      <c r="B744" s="16" t="s">
        <v>1375</v>
      </c>
      <c r="C744" s="16" t="s">
        <v>290</v>
      </c>
      <c r="D744" s="16" t="s">
        <v>291</v>
      </c>
      <c r="E744" s="6" t="n">
        <v>1000</v>
      </c>
      <c r="F744" s="7" t="n">
        <v>1</v>
      </c>
      <c r="G744" s="6" t="n">
        <v>28.22</v>
      </c>
      <c r="H744" s="6" t="n">
        <v>4</v>
      </c>
      <c r="I744" s="6" t="n">
        <v>28.22</v>
      </c>
      <c r="J744" s="6" t="n">
        <v>24.22</v>
      </c>
    </row>
    <row collapsed="false" customFormat="false" customHeight="false" hidden="false" ht="12.1" outlineLevel="0" r="745">
      <c r="A745" s="35" t="n">
        <v>46231</v>
      </c>
      <c r="B745" s="16" t="s">
        <v>1375</v>
      </c>
      <c r="C745" s="16" t="s">
        <v>84</v>
      </c>
      <c r="D745" s="16" t="s">
        <v>86</v>
      </c>
      <c r="E745" s="6" t="n">
        <v>1000</v>
      </c>
      <c r="F745" s="7" t="n">
        <v>34</v>
      </c>
      <c r="G745" s="6" t="n">
        <v>30.42</v>
      </c>
      <c r="H745" s="6" t="n">
        <v>134</v>
      </c>
      <c r="I745" s="6" t="n">
        <v>1034.28</v>
      </c>
      <c r="J745" s="6" t="n">
        <v>900.28</v>
      </c>
    </row>
    <row collapsed="false" customFormat="false" customHeight="false" hidden="false" ht="12.1" outlineLevel="0" r="746">
      <c r="A746" s="35" t="n">
        <v>46231</v>
      </c>
      <c r="B746" s="16" t="s">
        <v>1375</v>
      </c>
      <c r="C746" s="16" t="s">
        <v>154</v>
      </c>
      <c r="D746" s="16" t="s">
        <v>155</v>
      </c>
      <c r="E746" s="6" t="n">
        <v>1000</v>
      </c>
      <c r="F746" s="7" t="n">
        <v>6</v>
      </c>
      <c r="G746" s="6" t="n">
        <v>34.41</v>
      </c>
      <c r="H746" s="6" t="n">
        <v>27</v>
      </c>
      <c r="I746" s="6" t="n">
        <v>206.46</v>
      </c>
      <c r="J746" s="6" t="n">
        <v>179.46</v>
      </c>
    </row>
    <row collapsed="false" customFormat="false" customHeight="false" hidden="false" ht="12.1" outlineLevel="0" r="747">
      <c r="A747" s="35" t="n">
        <v>46231</v>
      </c>
      <c r="B747" s="16" t="s">
        <v>1375</v>
      </c>
      <c r="C747" s="16" t="s">
        <v>181</v>
      </c>
      <c r="D747" s="16" t="s">
        <v>182</v>
      </c>
      <c r="E747" s="6" t="n">
        <v>1000</v>
      </c>
      <c r="F747" s="7" t="n">
        <v>2</v>
      </c>
      <c r="G747" s="6" t="n">
        <v>13.15</v>
      </c>
      <c r="H747" s="6" t="n">
        <v>3</v>
      </c>
      <c r="I747" s="6" t="n">
        <v>26.3</v>
      </c>
      <c r="J747" s="6" t="n">
        <v>23.3</v>
      </c>
    </row>
    <row collapsed="false" customFormat="false" customHeight="false" hidden="false" ht="12.1" outlineLevel="0" r="748">
      <c r="A748" s="35" t="n">
        <v>46231</v>
      </c>
      <c r="B748" s="16" t="s">
        <v>1375</v>
      </c>
      <c r="C748" s="16" t="s">
        <v>293</v>
      </c>
      <c r="D748" s="16" t="s">
        <v>294</v>
      </c>
      <c r="E748" s="6" t="n">
        <v>1000</v>
      </c>
      <c r="F748" s="7" t="n">
        <v>1</v>
      </c>
      <c r="G748" s="6" t="n">
        <v>40.15</v>
      </c>
      <c r="H748" s="6" t="n">
        <v>5</v>
      </c>
      <c r="I748" s="6" t="n">
        <v>40.15</v>
      </c>
      <c r="J748" s="6" t="n">
        <v>35.15</v>
      </c>
    </row>
    <row collapsed="false" customFormat="false" customHeight="false" hidden="false" ht="12.1" outlineLevel="0" r="749">
      <c r="A749" s="35" t="n">
        <v>46233</v>
      </c>
      <c r="B749" s="16" t="s">
        <v>1375</v>
      </c>
      <c r="C749" s="16" t="s">
        <v>299</v>
      </c>
      <c r="D749" s="16" t="s">
        <v>300</v>
      </c>
      <c r="E749" s="6" t="n">
        <v>1000</v>
      </c>
      <c r="F749" s="7" t="n">
        <v>1</v>
      </c>
      <c r="G749" s="6" t="n">
        <v>23.86</v>
      </c>
      <c r="H749" s="6" t="n">
        <v>3</v>
      </c>
      <c r="I749" s="6" t="n">
        <v>23.86</v>
      </c>
      <c r="J749" s="6" t="n">
        <v>20.86</v>
      </c>
    </row>
    <row collapsed="false" customFormat="false" customHeight="false" hidden="false" ht="12.1" outlineLevel="0" r="750">
      <c r="A750" s="35" t="n">
        <v>46233</v>
      </c>
      <c r="B750" s="16" t="s">
        <v>1375</v>
      </c>
      <c r="C750" s="16" t="s">
        <v>151</v>
      </c>
      <c r="D750" s="16" t="s">
        <v>152</v>
      </c>
      <c r="E750" s="6" t="n">
        <v>1000</v>
      </c>
      <c r="F750" s="7" t="n">
        <v>5</v>
      </c>
      <c r="G750" s="6" t="n">
        <v>59.84</v>
      </c>
      <c r="H750" s="6" t="n">
        <v>39</v>
      </c>
      <c r="I750" s="6" t="n">
        <v>299.2</v>
      </c>
      <c r="J750" s="6" t="n">
        <v>260.2</v>
      </c>
    </row>
    <row collapsed="false" customFormat="false" customHeight="false" hidden="false" ht="12.1" outlineLevel="0" r="751">
      <c r="A751" s="35" t="n">
        <v>46233</v>
      </c>
      <c r="B751" s="16" t="s">
        <v>1375</v>
      </c>
      <c r="C751" s="16" t="s">
        <v>232</v>
      </c>
      <c r="D751" s="16" t="s">
        <v>233</v>
      </c>
      <c r="E751" s="6" t="n">
        <v>1000</v>
      </c>
      <c r="F751" s="7" t="n">
        <v>2</v>
      </c>
      <c r="G751" s="6" t="n">
        <v>1.64</v>
      </c>
      <c r="H751" s="6" t="n">
        <v>0</v>
      </c>
      <c r="I751" s="6" t="n">
        <v>3.28</v>
      </c>
      <c r="J751" s="6" t="n">
        <v>3.28</v>
      </c>
    </row>
    <row collapsed="false" customFormat="false" customHeight="false" hidden="false" ht="12.1" outlineLevel="0" r="752">
      <c r="A752" s="35" t="n">
        <v>46234</v>
      </c>
      <c r="B752" s="16" t="s">
        <v>1375</v>
      </c>
      <c r="C752" s="16" t="s">
        <v>234</v>
      </c>
      <c r="D752" s="16" t="s">
        <v>235</v>
      </c>
      <c r="E752" s="6" t="n">
        <v>1000</v>
      </c>
      <c r="F752" s="7" t="n">
        <v>1</v>
      </c>
      <c r="G752" s="6" t="n">
        <v>19.11</v>
      </c>
      <c r="H752" s="6" t="n">
        <v>2</v>
      </c>
      <c r="I752" s="6" t="n">
        <v>19.11</v>
      </c>
      <c r="J752" s="6" t="n">
        <v>17.11</v>
      </c>
    </row>
    <row collapsed="false" customFormat="false" customHeight="false" hidden="false" ht="12.1" outlineLevel="0" r="753">
      <c r="A753" s="35" t="n">
        <v>46234</v>
      </c>
      <c r="B753" s="16" t="s">
        <v>1375</v>
      </c>
      <c r="C753" s="16" t="s">
        <v>311</v>
      </c>
      <c r="D753" s="16" t="s">
        <v>312</v>
      </c>
      <c r="E753" s="6" t="n">
        <v>1000</v>
      </c>
      <c r="F753" s="7" t="n">
        <v>1</v>
      </c>
      <c r="G753" s="6" t="n">
        <v>53.1</v>
      </c>
      <c r="H753" s="6" t="n">
        <v>7</v>
      </c>
      <c r="I753" s="6" t="n">
        <v>53.1</v>
      </c>
      <c r="J753" s="6" t="n">
        <v>46.1</v>
      </c>
    </row>
    <row collapsed="false" customFormat="false" customHeight="false" hidden="false" ht="12.1" outlineLevel="0" r="754">
      <c r="A754" s="35" t="n">
        <v>46238</v>
      </c>
      <c r="B754" s="16" t="s">
        <v>1375</v>
      </c>
      <c r="C754" s="16" t="s">
        <v>166</v>
      </c>
      <c r="D754" s="16" t="s">
        <v>167</v>
      </c>
      <c r="E754" s="6" t="n">
        <v>1694.77</v>
      </c>
      <c r="F754" s="7" t="n">
        <v>2</v>
      </c>
      <c r="G754" s="6" t="n">
        <v>21.21</v>
      </c>
      <c r="H754" s="6" t="n">
        <v>6</v>
      </c>
      <c r="I754" s="6" t="n">
        <v>42.42</v>
      </c>
      <c r="J754" s="6" t="n">
        <v>36.42</v>
      </c>
    </row>
    <row collapsed="false" customFormat="false" customHeight="false" hidden="false" ht="12.1" outlineLevel="0" r="755">
      <c r="A755" s="35" t="n">
        <v>46239</v>
      </c>
      <c r="B755" s="16" t="s">
        <v>1375</v>
      </c>
      <c r="C755" s="16" t="s">
        <v>278</v>
      </c>
      <c r="D755" s="16" t="s">
        <v>279</v>
      </c>
      <c r="E755" s="6" t="n">
        <v>1000</v>
      </c>
      <c r="F755" s="7" t="n">
        <v>1</v>
      </c>
      <c r="G755" s="6" t="n">
        <v>14.51</v>
      </c>
      <c r="H755" s="6" t="n">
        <v>2</v>
      </c>
      <c r="I755" s="6" t="n">
        <v>14.51</v>
      </c>
      <c r="J755" s="6" t="n">
        <v>12.51</v>
      </c>
    </row>
    <row collapsed="false" customFormat="false" customHeight="false" hidden="false" ht="12.1" outlineLevel="0" r="756">
      <c r="A756" s="35" t="n">
        <v>46242</v>
      </c>
      <c r="B756" s="16" t="s">
        <v>1375</v>
      </c>
      <c r="C756" s="16" t="s">
        <v>254</v>
      </c>
      <c r="D756" s="16" t="s">
        <v>255</v>
      </c>
      <c r="E756" s="6" t="n">
        <v>1000</v>
      </c>
      <c r="F756" s="7" t="n">
        <v>1</v>
      </c>
      <c r="G756" s="6" t="n">
        <v>11.38</v>
      </c>
      <c r="H756" s="6" t="n">
        <v>1</v>
      </c>
      <c r="I756" s="6" t="n">
        <v>11.38</v>
      </c>
      <c r="J756" s="6" t="n">
        <v>10.38</v>
      </c>
    </row>
    <row collapsed="false" customFormat="false" customHeight="false" hidden="false" ht="12.1" outlineLevel="0" r="757">
      <c r="A757" s="35" t="n">
        <v>46245</v>
      </c>
      <c r="B757" s="16" t="s">
        <v>1375</v>
      </c>
      <c r="C757" s="16" t="s">
        <v>112</v>
      </c>
      <c r="D757" s="16" t="s">
        <v>113</v>
      </c>
      <c r="E757" s="6" t="n">
        <v>1000</v>
      </c>
      <c r="F757" s="7" t="n">
        <v>19</v>
      </c>
      <c r="G757" s="6" t="n">
        <v>34.9</v>
      </c>
      <c r="H757" s="6" t="n">
        <v>86</v>
      </c>
      <c r="I757" s="6" t="n">
        <v>663.1</v>
      </c>
      <c r="J757" s="6" t="n">
        <v>577.1</v>
      </c>
    </row>
    <row collapsed="false" customFormat="false" customHeight="false" hidden="false" ht="12.1" outlineLevel="0" r="758">
      <c r="A758" s="35" t="n">
        <v>46247</v>
      </c>
      <c r="B758" s="16" t="s">
        <v>1375</v>
      </c>
      <c r="C758" s="16" t="s">
        <v>160</v>
      </c>
      <c r="D758" s="16" t="s">
        <v>161</v>
      </c>
      <c r="E758" s="6" t="n">
        <v>1000</v>
      </c>
      <c r="F758" s="7" t="n">
        <v>4</v>
      </c>
      <c r="G758" s="6" t="n">
        <v>51.86</v>
      </c>
      <c r="H758" s="6" t="n">
        <v>27</v>
      </c>
      <c r="I758" s="6" t="n">
        <v>207.44</v>
      </c>
      <c r="J758" s="6" t="n">
        <v>180.44</v>
      </c>
    </row>
    <row collapsed="false" customFormat="false" customHeight="false" hidden="false" ht="12.1" outlineLevel="0" r="759">
      <c r="A759" s="35" t="n">
        <v>46248</v>
      </c>
      <c r="B759" s="16" t="s">
        <v>1375</v>
      </c>
      <c r="C759" s="16" t="s">
        <v>246</v>
      </c>
      <c r="D759" s="16" t="s">
        <v>247</v>
      </c>
      <c r="E759" s="6" t="n">
        <v>1000</v>
      </c>
      <c r="F759" s="7" t="n">
        <v>1</v>
      </c>
      <c r="G759" s="6" t="n">
        <v>20.96</v>
      </c>
      <c r="H759" s="6" t="n">
        <v>3</v>
      </c>
      <c r="I759" s="6" t="n">
        <v>20.96</v>
      </c>
      <c r="J759" s="6" t="n">
        <v>17.96</v>
      </c>
    </row>
    <row collapsed="false" customFormat="false" customHeight="false" hidden="false" ht="12.1" outlineLevel="0" r="760">
      <c r="A760" s="35" t="n">
        <v>46248</v>
      </c>
      <c r="B760" s="16" t="s">
        <v>1375</v>
      </c>
      <c r="C760" s="16" t="s">
        <v>257</v>
      </c>
      <c r="D760" s="16" t="s">
        <v>258</v>
      </c>
      <c r="E760" s="6" t="n">
        <v>1000</v>
      </c>
      <c r="F760" s="7" t="n">
        <v>1</v>
      </c>
      <c r="G760" s="6" t="n">
        <v>14.48</v>
      </c>
      <c r="H760" s="6" t="n">
        <v>2</v>
      </c>
      <c r="I760" s="6" t="n">
        <v>14.48</v>
      </c>
      <c r="J760" s="6" t="n">
        <v>12.48</v>
      </c>
    </row>
    <row collapsed="false" customFormat="false" customHeight="false" hidden="false" ht="12.1" outlineLevel="0" r="761">
      <c r="A761" s="35" t="n">
        <v>46249</v>
      </c>
      <c r="B761" s="16" t="s">
        <v>1375</v>
      </c>
      <c r="C761" s="16" t="s">
        <v>323</v>
      </c>
      <c r="D761" s="16" t="s">
        <v>324</v>
      </c>
      <c r="E761" s="6" t="n">
        <v>1000</v>
      </c>
      <c r="F761" s="7" t="n">
        <v>1</v>
      </c>
      <c r="G761" s="6" t="n">
        <v>8.38</v>
      </c>
      <c r="H761" s="6" t="n">
        <v>1</v>
      </c>
      <c r="I761" s="6" t="n">
        <v>8.38</v>
      </c>
      <c r="J761" s="6" t="n">
        <v>7.38</v>
      </c>
    </row>
    <row collapsed="false" customFormat="false" customHeight="false" hidden="false" ht="12.1" outlineLevel="0" r="762">
      <c r="A762" s="35" t="n">
        <v>46251</v>
      </c>
      <c r="B762" s="16" t="s">
        <v>1375</v>
      </c>
      <c r="C762" s="16" t="s">
        <v>202</v>
      </c>
      <c r="D762" s="16" t="s">
        <v>203</v>
      </c>
      <c r="E762" s="6" t="n">
        <v>1000</v>
      </c>
      <c r="F762" s="7" t="n">
        <v>2</v>
      </c>
      <c r="G762" s="6" t="n">
        <v>13.64</v>
      </c>
      <c r="H762" s="6" t="n">
        <v>4</v>
      </c>
      <c r="I762" s="6" t="n">
        <v>27.28</v>
      </c>
      <c r="J762" s="6" t="n">
        <v>23.28</v>
      </c>
    </row>
    <row collapsed="false" customFormat="false" customHeight="false" hidden="false" ht="12.1" outlineLevel="0" r="763">
      <c r="A763" s="35" t="n">
        <v>46252</v>
      </c>
      <c r="B763" s="16" t="s">
        <v>1375</v>
      </c>
      <c r="C763" s="16" t="s">
        <v>190</v>
      </c>
      <c r="D763" s="16" t="s">
        <v>191</v>
      </c>
      <c r="E763" s="6" t="n">
        <v>1000</v>
      </c>
      <c r="F763" s="7" t="n">
        <v>2</v>
      </c>
      <c r="G763" s="6" t="n">
        <v>13.77</v>
      </c>
      <c r="H763" s="6" t="n">
        <v>4</v>
      </c>
      <c r="I763" s="6" t="n">
        <v>27.54</v>
      </c>
      <c r="J763" s="6" t="n">
        <v>23.54</v>
      </c>
    </row>
    <row collapsed="false" customFormat="false" customHeight="false" hidden="false" ht="12.1" outlineLevel="0" r="764">
      <c r="A764" s="35" t="n">
        <v>46253</v>
      </c>
      <c r="B764" s="16" t="s">
        <v>1375</v>
      </c>
      <c r="C764" s="16" t="s">
        <v>263</v>
      </c>
      <c r="D764" s="16" t="s">
        <v>264</v>
      </c>
      <c r="E764" s="6" t="n">
        <v>1000</v>
      </c>
      <c r="F764" s="7" t="n">
        <v>1</v>
      </c>
      <c r="G764" s="6" t="n">
        <v>12.66</v>
      </c>
      <c r="H764" s="6" t="n">
        <v>2</v>
      </c>
      <c r="I764" s="6" t="n">
        <v>12.66</v>
      </c>
      <c r="J764" s="6" t="n">
        <v>10.66</v>
      </c>
    </row>
    <row collapsed="false" customFormat="false" customHeight="false" hidden="false" ht="12.1" outlineLevel="0" r="765">
      <c r="A765" s="35" t="n">
        <v>46253</v>
      </c>
      <c r="B765" s="16" t="s">
        <v>1375</v>
      </c>
      <c r="C765" s="16" t="s">
        <v>331</v>
      </c>
      <c r="D765" s="16" t="s">
        <v>332</v>
      </c>
      <c r="E765" s="6" t="n">
        <v>250</v>
      </c>
      <c r="F765" s="7" t="n">
        <v>1</v>
      </c>
      <c r="G765" s="6" t="n">
        <v>4.33</v>
      </c>
      <c r="H765" s="6" t="n">
        <v>1</v>
      </c>
      <c r="I765" s="6" t="n">
        <v>4.33</v>
      </c>
      <c r="J765" s="6" t="n">
        <v>3.33</v>
      </c>
    </row>
    <row collapsed="false" customFormat="false" customHeight="false" hidden="false" ht="12.1" outlineLevel="0" r="766">
      <c r="A766" s="35" t="n">
        <v>46253</v>
      </c>
      <c r="B766" s="16" t="s">
        <v>1375</v>
      </c>
      <c r="C766" s="16" t="s">
        <v>187</v>
      </c>
      <c r="D766" s="16" t="s">
        <v>188</v>
      </c>
      <c r="E766" s="6" t="n">
        <v>1000</v>
      </c>
      <c r="F766" s="7" t="n">
        <v>2</v>
      </c>
      <c r="G766" s="6" t="n">
        <v>39.87</v>
      </c>
      <c r="H766" s="6" t="n">
        <v>10</v>
      </c>
      <c r="I766" s="6" t="n">
        <v>79.74</v>
      </c>
      <c r="J766" s="6" t="n">
        <v>69.74</v>
      </c>
    </row>
    <row collapsed="false" customFormat="false" customHeight="false" hidden="false" ht="12.1" outlineLevel="0" r="767">
      <c r="A767" s="35" t="n">
        <v>46254</v>
      </c>
      <c r="B767" s="16" t="s">
        <v>1375</v>
      </c>
      <c r="C767" s="16" t="s">
        <v>243</v>
      </c>
      <c r="D767" s="16" t="s">
        <v>244</v>
      </c>
      <c r="E767" s="6" t="n">
        <v>1000</v>
      </c>
      <c r="F767" s="7" t="n">
        <v>1</v>
      </c>
      <c r="G767" s="6" t="n">
        <v>14.79</v>
      </c>
      <c r="H767" s="6" t="n">
        <v>2</v>
      </c>
      <c r="I767" s="6" t="n">
        <v>14.79</v>
      </c>
      <c r="J767" s="6" t="n">
        <v>12.79</v>
      </c>
    </row>
    <row collapsed="false" customFormat="false" customHeight="false" hidden="false" ht="12.1" outlineLevel="0" r="768">
      <c r="A768" s="35" t="n">
        <v>46254</v>
      </c>
      <c r="B768" s="16" t="s">
        <v>1375</v>
      </c>
      <c r="C768" s="16" t="s">
        <v>175</v>
      </c>
      <c r="D768" s="16" t="s">
        <v>176</v>
      </c>
      <c r="E768" s="6" t="n">
        <v>1000</v>
      </c>
      <c r="F768" s="7" t="n">
        <v>3</v>
      </c>
      <c r="G768" s="6" t="n">
        <v>44.88</v>
      </c>
      <c r="H768" s="6" t="n">
        <v>18</v>
      </c>
      <c r="I768" s="6" t="n">
        <v>134.64</v>
      </c>
      <c r="J768" s="6" t="n">
        <v>116.64</v>
      </c>
    </row>
    <row collapsed="false" customFormat="false" customHeight="false" hidden="false" ht="12.1" outlineLevel="0" r="769">
      <c r="A769" s="35" t="n">
        <v>46255</v>
      </c>
      <c r="B769" s="16" t="s">
        <v>1375</v>
      </c>
      <c r="C769" s="16" t="s">
        <v>249</v>
      </c>
      <c r="D769" s="16" t="s">
        <v>250</v>
      </c>
      <c r="E769" s="6" t="n">
        <v>1000</v>
      </c>
      <c r="F769" s="7" t="n">
        <v>1</v>
      </c>
      <c r="G769" s="6" t="n">
        <v>11.42</v>
      </c>
      <c r="H769" s="6" t="n">
        <v>1</v>
      </c>
      <c r="I769" s="6" t="n">
        <v>11.42</v>
      </c>
      <c r="J769" s="6" t="n">
        <v>10.42</v>
      </c>
    </row>
    <row collapsed="false" customFormat="false" customHeight="false" hidden="false" ht="12.1" outlineLevel="0" r="770">
      <c r="A770" s="35" t="n">
        <v>46255</v>
      </c>
      <c r="B770" s="16" t="s">
        <v>1375</v>
      </c>
      <c r="C770" s="16" t="s">
        <v>252</v>
      </c>
      <c r="D770" s="16" t="s">
        <v>253</v>
      </c>
      <c r="E770" s="6" t="n">
        <v>1000</v>
      </c>
      <c r="F770" s="7" t="n">
        <v>1</v>
      </c>
      <c r="G770" s="6" t="n">
        <v>17.04</v>
      </c>
      <c r="H770" s="6" t="n">
        <v>2</v>
      </c>
      <c r="I770" s="6" t="n">
        <v>17.04</v>
      </c>
      <c r="J770" s="6" t="n">
        <v>15.04</v>
      </c>
    </row>
    <row collapsed="false" customFormat="false" customHeight="false" hidden="false" ht="12.1" outlineLevel="0" r="771">
      <c r="A771" s="35" t="n">
        <v>46256</v>
      </c>
      <c r="B771" s="16" t="s">
        <v>1375</v>
      </c>
      <c r="C771" s="16" t="s">
        <v>184</v>
      </c>
      <c r="D771" s="16" t="s">
        <v>185</v>
      </c>
      <c r="E771" s="6" t="n">
        <v>1000</v>
      </c>
      <c r="F771" s="7" t="n">
        <v>2</v>
      </c>
      <c r="G771" s="6" t="n">
        <v>13.68</v>
      </c>
      <c r="H771" s="6" t="n">
        <v>4</v>
      </c>
      <c r="I771" s="6" t="n">
        <v>27.36</v>
      </c>
      <c r="J771" s="6" t="n">
        <v>23.36</v>
      </c>
    </row>
    <row collapsed="false" customFormat="false" customHeight="false" hidden="false" ht="12.1" outlineLevel="0" r="772">
      <c r="A772" s="35" t="n">
        <v>46257</v>
      </c>
      <c r="B772" s="16" t="s">
        <v>1375</v>
      </c>
      <c r="C772" s="16" t="s">
        <v>317</v>
      </c>
      <c r="D772" s="16" t="s">
        <v>318</v>
      </c>
      <c r="E772" s="6" t="n">
        <v>1000</v>
      </c>
      <c r="F772" s="7" t="n">
        <v>1</v>
      </c>
      <c r="G772" s="6" t="n">
        <v>14.28</v>
      </c>
      <c r="H772" s="6" t="n">
        <v>2</v>
      </c>
      <c r="I772" s="6" t="n">
        <v>14.28</v>
      </c>
      <c r="J772" s="6" t="n">
        <v>12.28</v>
      </c>
    </row>
    <row collapsed="false" customFormat="false" customHeight="false" hidden="false" ht="12.1" outlineLevel="0" r="773">
      <c r="A773" s="35" t="n">
        <v>46258</v>
      </c>
      <c r="B773" s="16" t="s">
        <v>1375</v>
      </c>
      <c r="C773" s="16" t="s">
        <v>172</v>
      </c>
      <c r="D773" s="16" t="s">
        <v>173</v>
      </c>
      <c r="E773" s="6" t="n">
        <v>1000</v>
      </c>
      <c r="F773" s="7" t="n">
        <v>3</v>
      </c>
      <c r="G773" s="6" t="n">
        <v>24.93</v>
      </c>
      <c r="H773" s="6" t="n">
        <v>10</v>
      </c>
      <c r="I773" s="6" t="n">
        <v>74.79</v>
      </c>
      <c r="J773" s="6" t="n">
        <v>64.79</v>
      </c>
    </row>
    <row collapsed="false" customFormat="false" customHeight="false" hidden="false" ht="12.1" outlineLevel="0" r="774">
      <c r="A774" s="35" t="n">
        <v>46259</v>
      </c>
      <c r="B774" s="16" t="s">
        <v>1375</v>
      </c>
      <c r="C774" s="16" t="s">
        <v>193</v>
      </c>
      <c r="D774" s="16" t="s">
        <v>194</v>
      </c>
      <c r="E774" s="6" t="n">
        <v>1000</v>
      </c>
      <c r="F774" s="7" t="n">
        <v>2</v>
      </c>
      <c r="G774" s="6" t="n">
        <v>12.95</v>
      </c>
      <c r="H774" s="6" t="n">
        <v>3</v>
      </c>
      <c r="I774" s="6" t="n">
        <v>25.9</v>
      </c>
      <c r="J774" s="6" t="n">
        <v>22.9</v>
      </c>
    </row>
    <row collapsed="false" customFormat="false" customHeight="false" hidden="false" ht="12.1" outlineLevel="0" r="775">
      <c r="A775" s="35" t="n">
        <v>46261</v>
      </c>
      <c r="B775" s="16" t="s">
        <v>1375</v>
      </c>
      <c r="C775" s="16" t="s">
        <v>181</v>
      </c>
      <c r="D775" s="16" t="s">
        <v>182</v>
      </c>
      <c r="E775" s="6" t="n">
        <v>1000</v>
      </c>
      <c r="F775" s="7" t="n">
        <v>2</v>
      </c>
      <c r="G775" s="6" t="n">
        <v>13.15</v>
      </c>
      <c r="H775" s="6" t="n">
        <v>3</v>
      </c>
      <c r="I775" s="6" t="n">
        <v>26.3</v>
      </c>
      <c r="J775" s="6" t="n">
        <v>23.3</v>
      </c>
    </row>
    <row collapsed="false" customFormat="false" customHeight="false" hidden="false" ht="12.1" outlineLevel="0" r="776">
      <c r="A776" s="35" t="n">
        <v>46263</v>
      </c>
      <c r="B776" s="16" t="s">
        <v>1375</v>
      </c>
      <c r="C776" s="16" t="s">
        <v>232</v>
      </c>
      <c r="D776" s="16" t="s">
        <v>233</v>
      </c>
      <c r="E776" s="6" t="n">
        <v>1000</v>
      </c>
      <c r="F776" s="7" t="n">
        <v>2</v>
      </c>
      <c r="G776" s="6" t="n">
        <v>1.64</v>
      </c>
      <c r="H776" s="6" t="n">
        <v>0</v>
      </c>
      <c r="I776" s="6" t="n">
        <v>3.28</v>
      </c>
      <c r="J776" s="6" t="n">
        <v>3.28</v>
      </c>
    </row>
    <row collapsed="false" customFormat="false" customHeight="false" hidden="false" ht="12.1" outlineLevel="0" r="777">
      <c r="A777" s="35" t="n">
        <v>46264</v>
      </c>
      <c r="B777" s="16" t="s">
        <v>1375</v>
      </c>
      <c r="C777" s="16" t="s">
        <v>314</v>
      </c>
      <c r="D777" s="16" t="s">
        <v>315</v>
      </c>
      <c r="E777" s="6" t="n">
        <v>1000</v>
      </c>
      <c r="F777" s="7" t="n">
        <v>1</v>
      </c>
      <c r="G777" s="6" t="n">
        <v>25.68</v>
      </c>
      <c r="H777" s="6" t="n">
        <v>3</v>
      </c>
      <c r="I777" s="6" t="n">
        <v>25.68</v>
      </c>
      <c r="J777" s="6" t="n">
        <v>22.68</v>
      </c>
    </row>
    <row collapsed="false" customFormat="false" customHeight="false" hidden="false" ht="12.1" outlineLevel="0" r="778">
      <c r="A778" s="35" t="n">
        <v>46264</v>
      </c>
      <c r="B778" s="16" t="s">
        <v>1375</v>
      </c>
      <c r="C778" s="16" t="s">
        <v>234</v>
      </c>
      <c r="D778" s="16" t="s">
        <v>235</v>
      </c>
      <c r="E778" s="6" t="n">
        <v>1000</v>
      </c>
      <c r="F778" s="7" t="n">
        <v>1</v>
      </c>
      <c r="G778" s="6" t="n">
        <v>19.11</v>
      </c>
      <c r="H778" s="6" t="n">
        <v>2</v>
      </c>
      <c r="I778" s="6" t="n">
        <v>19.11</v>
      </c>
      <c r="J778" s="6" t="n">
        <v>17.11</v>
      </c>
    </row>
    <row collapsed="false" customFormat="false" customHeight="false" hidden="false" ht="12.1" outlineLevel="0" r="779">
      <c r="A779" s="35" t="n">
        <v>46265</v>
      </c>
      <c r="B779" s="16" t="s">
        <v>1375</v>
      </c>
      <c r="C779" s="16" t="s">
        <v>266</v>
      </c>
      <c r="D779" s="16" t="s">
        <v>267</v>
      </c>
      <c r="E779" s="6" t="n">
        <v>1000</v>
      </c>
      <c r="F779" s="7" t="n">
        <v>1</v>
      </c>
      <c r="G779" s="6" t="n">
        <v>29.17</v>
      </c>
      <c r="H779" s="6" t="n">
        <v>4</v>
      </c>
      <c r="I779" s="6" t="n">
        <v>29.17</v>
      </c>
      <c r="J779" s="6" t="n">
        <v>25.17</v>
      </c>
    </row>
    <row collapsed="false" customFormat="false" customHeight="false" hidden="false" ht="12.1" outlineLevel="0" r="780">
      <c r="A780" s="35" t="n">
        <v>46266</v>
      </c>
      <c r="B780" s="16" t="s">
        <v>1375</v>
      </c>
      <c r="C780" s="16" t="s">
        <v>329</v>
      </c>
      <c r="D780" s="16" t="s">
        <v>330</v>
      </c>
      <c r="E780" s="6" t="n">
        <v>1000</v>
      </c>
      <c r="F780" s="7" t="n">
        <v>1</v>
      </c>
      <c r="G780" s="6" t="n">
        <v>19.87</v>
      </c>
      <c r="H780" s="6" t="n">
        <v>3</v>
      </c>
      <c r="I780" s="6" t="n">
        <v>19.87</v>
      </c>
      <c r="J780" s="6" t="n">
        <v>16.87</v>
      </c>
    </row>
    <row collapsed="false" customFormat="false" customHeight="false" hidden="false" ht="12.1" outlineLevel="0" r="781">
      <c r="A781" s="35" t="n">
        <v>46266</v>
      </c>
      <c r="B781" s="16" t="s">
        <v>1375</v>
      </c>
      <c r="C781" s="16" t="s">
        <v>240</v>
      </c>
      <c r="D781" s="16" t="s">
        <v>241</v>
      </c>
      <c r="E781" s="6" t="n">
        <v>1000</v>
      </c>
      <c r="F781" s="7" t="n">
        <v>1</v>
      </c>
      <c r="G781" s="6" t="n">
        <v>106.51</v>
      </c>
      <c r="H781" s="6" t="n">
        <v>14</v>
      </c>
      <c r="I781" s="6" t="n">
        <v>106.51</v>
      </c>
      <c r="J781" s="6" t="n">
        <v>92.51</v>
      </c>
    </row>
    <row collapsed="false" customFormat="false" customHeight="false" hidden="false" ht="12.1" outlineLevel="0" r="782">
      <c r="A782" s="35" t="n">
        <v>46266</v>
      </c>
      <c r="B782" s="16" t="s">
        <v>1375</v>
      </c>
      <c r="C782" s="16" t="s">
        <v>320</v>
      </c>
      <c r="D782" s="16" t="s">
        <v>321</v>
      </c>
      <c r="E782" s="6" t="n">
        <v>1000</v>
      </c>
      <c r="F782" s="7" t="n">
        <v>1</v>
      </c>
      <c r="G782" s="6" t="n">
        <v>19.55</v>
      </c>
      <c r="H782" s="6" t="n">
        <v>3</v>
      </c>
      <c r="I782" s="6" t="n">
        <v>19.55</v>
      </c>
      <c r="J782" s="6" t="n">
        <v>16.55</v>
      </c>
    </row>
    <row collapsed="false" customFormat="false" customHeight="false" hidden="false" ht="12.1" outlineLevel="0" r="783">
      <c r="A783" s="35" t="n">
        <v>46266</v>
      </c>
      <c r="B783" s="16" t="s">
        <v>1375</v>
      </c>
      <c r="C783" s="16" t="s">
        <v>163</v>
      </c>
      <c r="D783" s="16" t="s">
        <v>164</v>
      </c>
      <c r="E783" s="6" t="n">
        <v>1000</v>
      </c>
      <c r="F783" s="7" t="n">
        <v>4</v>
      </c>
      <c r="G783" s="6" t="n">
        <v>44.88</v>
      </c>
      <c r="H783" s="6" t="n">
        <v>23</v>
      </c>
      <c r="I783" s="6" t="n">
        <v>179.52</v>
      </c>
      <c r="J783" s="6" t="n">
        <v>156.52</v>
      </c>
    </row>
    <row collapsed="false" customFormat="false" customHeight="false" hidden="false" ht="12.1" outlineLevel="0" r="784">
      <c r="A784" s="35" t="n">
        <v>46267</v>
      </c>
      <c r="B784" s="16" t="s">
        <v>1375</v>
      </c>
      <c r="C784" s="16" t="s">
        <v>281</v>
      </c>
      <c r="D784" s="16" t="s">
        <v>282</v>
      </c>
      <c r="E784" s="6" t="n">
        <v>1000</v>
      </c>
      <c r="F784" s="7" t="n">
        <v>1</v>
      </c>
      <c r="G784" s="6" t="n">
        <v>35.53</v>
      </c>
      <c r="H784" s="6" t="n">
        <v>5</v>
      </c>
      <c r="I784" s="6" t="n">
        <v>35.53</v>
      </c>
      <c r="J784" s="6" t="n">
        <v>30.53</v>
      </c>
    </row>
    <row collapsed="false" customFormat="false" customHeight="false" hidden="false" ht="12.1" outlineLevel="0" r="785">
      <c r="A785" s="35" t="n">
        <v>46270</v>
      </c>
      <c r="B785" s="16" t="s">
        <v>1375</v>
      </c>
      <c r="C785" s="16" t="s">
        <v>278</v>
      </c>
      <c r="D785" s="16" t="s">
        <v>279</v>
      </c>
      <c r="E785" s="6" t="n">
        <v>1000</v>
      </c>
      <c r="F785" s="7" t="n">
        <v>1</v>
      </c>
      <c r="G785" s="6" t="n">
        <v>14.51</v>
      </c>
      <c r="H785" s="6" t="n">
        <v>2</v>
      </c>
      <c r="I785" s="6" t="n">
        <v>14.51</v>
      </c>
      <c r="J785" s="6" t="n">
        <v>12.51</v>
      </c>
    </row>
    <row collapsed="false" customFormat="false" customHeight="false" hidden="false" ht="12.1" outlineLevel="0" r="786">
      <c r="A786" s="35" t="n">
        <v>46272</v>
      </c>
      <c r="B786" s="16" t="s">
        <v>1375</v>
      </c>
      <c r="C786" s="16" t="s">
        <v>254</v>
      </c>
      <c r="D786" s="16" t="s">
        <v>255</v>
      </c>
      <c r="E786" s="6" t="n">
        <v>1000</v>
      </c>
      <c r="F786" s="7" t="n">
        <v>1</v>
      </c>
      <c r="G786" s="6" t="n">
        <v>11.38</v>
      </c>
      <c r="H786" s="6" t="n">
        <v>1</v>
      </c>
      <c r="I786" s="6" t="n">
        <v>11.38</v>
      </c>
      <c r="J786" s="6" t="n">
        <v>10.38</v>
      </c>
    </row>
    <row collapsed="false" customFormat="false" customHeight="false" hidden="false" ht="12.1" outlineLevel="0" r="787">
      <c r="A787" s="35" t="n">
        <v>46275</v>
      </c>
      <c r="B787" s="16" t="s">
        <v>1375</v>
      </c>
      <c r="C787" s="16" t="s">
        <v>229</v>
      </c>
      <c r="D787" s="16" t="s">
        <v>230</v>
      </c>
      <c r="E787" s="6" t="n">
        <v>1000</v>
      </c>
      <c r="F787" s="7" t="n">
        <v>2</v>
      </c>
      <c r="G787" s="6" t="n">
        <v>17.83</v>
      </c>
      <c r="H787" s="6" t="n">
        <v>5</v>
      </c>
      <c r="I787" s="6" t="n">
        <v>35.66</v>
      </c>
      <c r="J787" s="6" t="n">
        <v>30.66</v>
      </c>
    </row>
    <row collapsed="false" customFormat="false" customHeight="false" hidden="false" ht="12.1" outlineLevel="0" r="788">
      <c r="A788" s="35" t="n">
        <v>46278</v>
      </c>
      <c r="B788" s="16" t="s">
        <v>1375</v>
      </c>
      <c r="C788" s="16" t="s">
        <v>246</v>
      </c>
      <c r="D788" s="16" t="s">
        <v>247</v>
      </c>
      <c r="E788" s="6" t="n">
        <v>1000</v>
      </c>
      <c r="F788" s="7" t="n">
        <v>1</v>
      </c>
      <c r="G788" s="6" t="n">
        <v>20.96</v>
      </c>
      <c r="H788" s="6" t="n">
        <v>3</v>
      </c>
      <c r="I788" s="6" t="n">
        <v>20.96</v>
      </c>
      <c r="J788" s="6" t="n">
        <v>17.96</v>
      </c>
    </row>
    <row collapsed="false" customFormat="false" customHeight="false" hidden="false" ht="12.1" outlineLevel="0" r="789">
      <c r="A789" s="35" t="n">
        <v>46279</v>
      </c>
      <c r="B789" s="16" t="s">
        <v>1375</v>
      </c>
      <c r="C789" s="16" t="s">
        <v>257</v>
      </c>
      <c r="D789" s="16" t="s">
        <v>258</v>
      </c>
      <c r="E789" s="6" t="n">
        <v>1000</v>
      </c>
      <c r="F789" s="7" t="n">
        <v>1</v>
      </c>
      <c r="G789" s="6" t="n">
        <v>14.48</v>
      </c>
      <c r="H789" s="6" t="n">
        <v>2</v>
      </c>
      <c r="I789" s="6" t="n">
        <v>14.48</v>
      </c>
      <c r="J789" s="6" t="n">
        <v>12.48</v>
      </c>
    </row>
    <row collapsed="false" customFormat="false" customHeight="false" hidden="false" ht="12.1" outlineLevel="0" r="790">
      <c r="A790" s="35" t="n">
        <v>46279</v>
      </c>
      <c r="B790" s="16" t="s">
        <v>1375</v>
      </c>
      <c r="C790" s="16" t="s">
        <v>323</v>
      </c>
      <c r="D790" s="16" t="s">
        <v>324</v>
      </c>
      <c r="E790" s="6" t="n">
        <v>1000</v>
      </c>
      <c r="F790" s="7" t="n">
        <v>1</v>
      </c>
      <c r="G790" s="6" t="n">
        <v>8.38</v>
      </c>
      <c r="H790" s="6" t="n">
        <v>1</v>
      </c>
      <c r="I790" s="6" t="n">
        <v>8.38</v>
      </c>
      <c r="J790" s="6" t="n">
        <v>7.38</v>
      </c>
    </row>
    <row collapsed="false" customFormat="false" customHeight="false" hidden="false" ht="12.1" outlineLevel="0" r="791">
      <c r="A791" s="35" t="n">
        <v>46279</v>
      </c>
      <c r="B791" s="16" t="s">
        <v>1375</v>
      </c>
      <c r="C791" s="16" t="s">
        <v>275</v>
      </c>
      <c r="D791" s="16" t="s">
        <v>276</v>
      </c>
      <c r="E791" s="6" t="n">
        <v>1000</v>
      </c>
      <c r="F791" s="7" t="n">
        <v>1</v>
      </c>
      <c r="G791" s="6" t="n">
        <v>39.39</v>
      </c>
      <c r="H791" s="6" t="n">
        <v>5</v>
      </c>
      <c r="I791" s="6" t="n">
        <v>39.39</v>
      </c>
      <c r="J791" s="6" t="n">
        <v>34.39</v>
      </c>
    </row>
    <row collapsed="false" customFormat="false" customHeight="false" hidden="false" ht="12.1" outlineLevel="0" r="792">
      <c r="A792" s="35" t="n">
        <v>46280</v>
      </c>
      <c r="B792" s="16" t="s">
        <v>1375</v>
      </c>
      <c r="C792" s="16" t="s">
        <v>103</v>
      </c>
      <c r="D792" s="16" t="s">
        <v>104</v>
      </c>
      <c r="E792" s="6" t="n">
        <v>1000</v>
      </c>
      <c r="F792" s="7" t="n">
        <v>17</v>
      </c>
      <c r="G792" s="6" t="n">
        <v>29.42</v>
      </c>
      <c r="H792" s="6" t="n">
        <v>65</v>
      </c>
      <c r="I792" s="6" t="n">
        <v>500.14</v>
      </c>
      <c r="J792" s="6" t="n">
        <v>435.14</v>
      </c>
    </row>
    <row collapsed="false" customFormat="false" customHeight="false" hidden="false" ht="12.1" outlineLevel="0" r="793">
      <c r="A793" s="35" t="n">
        <v>46281</v>
      </c>
      <c r="B793" s="16" t="s">
        <v>1375</v>
      </c>
      <c r="C793" s="16" t="s">
        <v>202</v>
      </c>
      <c r="D793" s="16" t="s">
        <v>203</v>
      </c>
      <c r="E793" s="6" t="n">
        <v>1000</v>
      </c>
      <c r="F793" s="7" t="n">
        <v>2</v>
      </c>
      <c r="G793" s="6" t="n">
        <v>13.64</v>
      </c>
      <c r="H793" s="6" t="n">
        <v>4</v>
      </c>
      <c r="I793" s="6" t="n">
        <v>27.28</v>
      </c>
      <c r="J793" s="6" t="n">
        <v>23.28</v>
      </c>
    </row>
    <row collapsed="false" customFormat="false" customHeight="false" hidden="false" ht="12.1" outlineLevel="0" r="794">
      <c r="A794" s="35" t="n">
        <v>46282</v>
      </c>
      <c r="B794" s="16" t="s">
        <v>1375</v>
      </c>
      <c r="C794" s="16" t="s">
        <v>190</v>
      </c>
      <c r="D794" s="16" t="s">
        <v>191</v>
      </c>
      <c r="E794" s="6" t="n">
        <v>1000</v>
      </c>
      <c r="F794" s="7" t="n">
        <v>2</v>
      </c>
      <c r="G794" s="6" t="n">
        <v>13.77</v>
      </c>
      <c r="H794" s="6" t="n">
        <v>4</v>
      </c>
      <c r="I794" s="6" t="n">
        <v>27.54</v>
      </c>
      <c r="J794" s="6" t="n">
        <v>23.54</v>
      </c>
    </row>
    <row collapsed="false" customFormat="false" customHeight="false" hidden="false" ht="12.1" outlineLevel="0" r="795">
      <c r="A795" s="35" t="n">
        <v>46283</v>
      </c>
      <c r="B795" s="16" t="s">
        <v>1375</v>
      </c>
      <c r="C795" s="16" t="s">
        <v>263</v>
      </c>
      <c r="D795" s="16" t="s">
        <v>264</v>
      </c>
      <c r="E795" s="6" t="n">
        <v>1000</v>
      </c>
      <c r="F795" s="7" t="n">
        <v>1</v>
      </c>
      <c r="G795" s="6" t="n">
        <v>12.66</v>
      </c>
      <c r="H795" s="6" t="n">
        <v>2</v>
      </c>
      <c r="I795" s="6" t="n">
        <v>12.66</v>
      </c>
      <c r="J795" s="6" t="n">
        <v>10.66</v>
      </c>
    </row>
    <row collapsed="false" customFormat="false" customHeight="false" hidden="false" ht="12.1" outlineLevel="0" r="796">
      <c r="A796" s="35" t="n">
        <v>46284</v>
      </c>
      <c r="B796" s="16" t="s">
        <v>1375</v>
      </c>
      <c r="C796" s="16" t="s">
        <v>243</v>
      </c>
      <c r="D796" s="16" t="s">
        <v>244</v>
      </c>
      <c r="E796" s="6" t="n">
        <v>1000</v>
      </c>
      <c r="F796" s="7" t="n">
        <v>1</v>
      </c>
      <c r="G796" s="6" t="n">
        <v>14.79</v>
      </c>
      <c r="H796" s="6" t="n">
        <v>2</v>
      </c>
      <c r="I796" s="6" t="n">
        <v>14.79</v>
      </c>
      <c r="J796" s="6" t="n">
        <v>12.79</v>
      </c>
    </row>
    <row collapsed="false" customFormat="false" customHeight="false" hidden="false" ht="12.1" outlineLevel="0" r="797">
      <c r="A797" s="35" t="n">
        <v>46285</v>
      </c>
      <c r="B797" s="16" t="s">
        <v>1375</v>
      </c>
      <c r="C797" s="16" t="s">
        <v>249</v>
      </c>
      <c r="D797" s="16" t="s">
        <v>250</v>
      </c>
      <c r="E797" s="6" t="n">
        <v>1000</v>
      </c>
      <c r="F797" s="7" t="n">
        <v>1</v>
      </c>
      <c r="G797" s="6" t="n">
        <v>11.42</v>
      </c>
      <c r="H797" s="6" t="n">
        <v>1</v>
      </c>
      <c r="I797" s="6" t="n">
        <v>11.42</v>
      </c>
      <c r="J797" s="6" t="n">
        <v>10.42</v>
      </c>
    </row>
    <row collapsed="false" customFormat="false" customHeight="false" hidden="false" ht="12.1" outlineLevel="0" r="798">
      <c r="A798" s="35" t="n">
        <v>46285</v>
      </c>
      <c r="B798" s="16" t="s">
        <v>1375</v>
      </c>
      <c r="C798" s="16" t="s">
        <v>252</v>
      </c>
      <c r="D798" s="16" t="s">
        <v>253</v>
      </c>
      <c r="E798" s="6" t="n">
        <v>1000</v>
      </c>
      <c r="F798" s="7" t="n">
        <v>1</v>
      </c>
      <c r="G798" s="6" t="n">
        <v>14.61</v>
      </c>
      <c r="H798" s="6" t="n">
        <v>2</v>
      </c>
      <c r="I798" s="6" t="n">
        <v>14.61</v>
      </c>
      <c r="J798" s="6" t="n">
        <v>12.61</v>
      </c>
    </row>
    <row collapsed="false" customFormat="false" customHeight="false" hidden="false" ht="12.1" outlineLevel="0" r="799">
      <c r="A799" s="35" t="n">
        <v>46285</v>
      </c>
      <c r="B799" s="16" t="s">
        <v>1375</v>
      </c>
      <c r="C799" s="16" t="s">
        <v>220</v>
      </c>
      <c r="D799" s="16" t="s">
        <v>221</v>
      </c>
      <c r="E799" s="6" t="n">
        <v>1000</v>
      </c>
      <c r="F799" s="7" t="n">
        <v>2</v>
      </c>
      <c r="G799" s="6" t="n">
        <v>45.38</v>
      </c>
      <c r="H799" s="6" t="n">
        <v>12</v>
      </c>
      <c r="I799" s="6" t="n">
        <v>90.76</v>
      </c>
      <c r="J799" s="6" t="n">
        <v>78.76</v>
      </c>
    </row>
    <row collapsed="false" customFormat="false" customHeight="false" hidden="false" ht="12.1" outlineLevel="0" r="800">
      <c r="A800" s="35" t="n">
        <v>46286</v>
      </c>
      <c r="B800" s="16" t="s">
        <v>1375</v>
      </c>
      <c r="C800" s="16" t="s">
        <v>184</v>
      </c>
      <c r="D800" s="16" t="s">
        <v>185</v>
      </c>
      <c r="E800" s="6" t="n">
        <v>1000</v>
      </c>
      <c r="F800" s="7" t="n">
        <v>2</v>
      </c>
      <c r="G800" s="6" t="n">
        <v>13.68</v>
      </c>
      <c r="H800" s="6" t="n">
        <v>4</v>
      </c>
      <c r="I800" s="6" t="n">
        <v>27.36</v>
      </c>
      <c r="J800" s="6" t="n">
        <v>23.36</v>
      </c>
    </row>
    <row collapsed="false" customFormat="false" customHeight="false" hidden="false" ht="12.1" outlineLevel="0" r="801">
      <c r="A801" s="35" t="n">
        <v>46287</v>
      </c>
      <c r="B801" s="16" t="s">
        <v>1375</v>
      </c>
      <c r="C801" s="16" t="s">
        <v>130</v>
      </c>
      <c r="D801" s="16" t="s">
        <v>131</v>
      </c>
      <c r="E801" s="6" t="n">
        <v>1000</v>
      </c>
      <c r="F801" s="7" t="n">
        <v>11</v>
      </c>
      <c r="G801" s="6" t="n">
        <v>56.1</v>
      </c>
      <c r="H801" s="6" t="n">
        <v>80</v>
      </c>
      <c r="I801" s="6" t="n">
        <v>617.1</v>
      </c>
      <c r="J801" s="6" t="n">
        <v>537.1</v>
      </c>
    </row>
    <row collapsed="false" customFormat="false" customHeight="false" hidden="false" ht="12.1" outlineLevel="0" r="802">
      <c r="A802" s="35" t="n">
        <v>46287</v>
      </c>
      <c r="B802" s="16" t="s">
        <v>1375</v>
      </c>
      <c r="C802" s="16" t="s">
        <v>97</v>
      </c>
      <c r="D802" s="16" t="s">
        <v>98</v>
      </c>
      <c r="E802" s="6" t="n">
        <v>1000</v>
      </c>
      <c r="F802" s="7" t="n">
        <v>14</v>
      </c>
      <c r="G802" s="6" t="n">
        <v>59.84</v>
      </c>
      <c r="H802" s="6" t="n">
        <v>109</v>
      </c>
      <c r="I802" s="6" t="n">
        <v>837.76</v>
      </c>
      <c r="J802" s="6" t="n">
        <v>728.76</v>
      </c>
    </row>
    <row collapsed="false" customFormat="false" customHeight="false" hidden="false" ht="12.1" outlineLevel="0" r="803">
      <c r="A803" s="35" t="n">
        <v>46287</v>
      </c>
      <c r="B803" s="16" t="s">
        <v>1375</v>
      </c>
      <c r="C803" s="16" t="s">
        <v>133</v>
      </c>
      <c r="D803" s="16" t="s">
        <v>134</v>
      </c>
      <c r="E803" s="6" t="n">
        <v>1000</v>
      </c>
      <c r="F803" s="7" t="n">
        <v>12</v>
      </c>
      <c r="G803" s="6" t="n">
        <v>42.38</v>
      </c>
      <c r="H803" s="6" t="n">
        <v>66</v>
      </c>
      <c r="I803" s="6" t="n">
        <v>508.56</v>
      </c>
      <c r="J803" s="6" t="n">
        <v>442.56</v>
      </c>
    </row>
    <row collapsed="false" customFormat="false" customHeight="false" hidden="false" ht="12.1" outlineLevel="0" r="804">
      <c r="A804" s="35" t="n">
        <v>46287</v>
      </c>
      <c r="B804" s="16" t="s">
        <v>1375</v>
      </c>
      <c r="C804" s="16" t="s">
        <v>157</v>
      </c>
      <c r="D804" s="16" t="s">
        <v>158</v>
      </c>
      <c r="E804" s="6" t="n">
        <v>1448.61</v>
      </c>
      <c r="F804" s="7" t="n">
        <v>4</v>
      </c>
      <c r="G804" s="6" t="n">
        <v>18.13</v>
      </c>
      <c r="H804" s="6" t="n">
        <v>9</v>
      </c>
      <c r="I804" s="6" t="n">
        <v>72.52</v>
      </c>
      <c r="J804" s="6" t="n">
        <v>63.52</v>
      </c>
    </row>
    <row collapsed="false" customFormat="false" customHeight="false" hidden="false" ht="12.1" outlineLevel="0" r="805">
      <c r="A805" s="35" t="n">
        <v>46288</v>
      </c>
      <c r="B805" s="16" t="s">
        <v>1375</v>
      </c>
      <c r="C805" s="16" t="s">
        <v>317</v>
      </c>
      <c r="D805" s="16" t="s">
        <v>318</v>
      </c>
      <c r="E805" s="6" t="n">
        <v>1000</v>
      </c>
      <c r="F805" s="7" t="n">
        <v>1</v>
      </c>
      <c r="G805" s="6" t="n">
        <v>14.28</v>
      </c>
      <c r="H805" s="6" t="n">
        <v>2</v>
      </c>
      <c r="I805" s="6" t="n">
        <v>14.28</v>
      </c>
      <c r="J805" s="6" t="n">
        <v>12.28</v>
      </c>
    </row>
    <row collapsed="false" customFormat="false" customHeight="false" hidden="false" ht="12.1" outlineLevel="0" r="806">
      <c r="A806" s="35" t="n">
        <v>46289</v>
      </c>
      <c r="B806" s="16" t="s">
        <v>1375</v>
      </c>
      <c r="C806" s="16" t="s">
        <v>269</v>
      </c>
      <c r="D806" s="16" t="s">
        <v>270</v>
      </c>
      <c r="E806" s="6" t="n">
        <v>1000</v>
      </c>
      <c r="F806" s="7" t="n">
        <v>1</v>
      </c>
      <c r="G806" s="6" t="n">
        <v>52.36</v>
      </c>
      <c r="H806" s="6" t="n">
        <v>7</v>
      </c>
      <c r="I806" s="6" t="n">
        <v>52.36</v>
      </c>
      <c r="J806" s="6" t="n">
        <v>45.36</v>
      </c>
    </row>
    <row collapsed="false" customFormat="false" customHeight="false" hidden="false" ht="12.1" outlineLevel="0" r="807">
      <c r="A807" s="35" t="n">
        <v>46289</v>
      </c>
      <c r="B807" s="16" t="s">
        <v>1375</v>
      </c>
      <c r="C807" s="16" t="s">
        <v>193</v>
      </c>
      <c r="D807" s="16" t="s">
        <v>194</v>
      </c>
      <c r="E807" s="6" t="n">
        <v>1000</v>
      </c>
      <c r="F807" s="7" t="n">
        <v>2</v>
      </c>
      <c r="G807" s="6" t="n">
        <v>12.95</v>
      </c>
      <c r="H807" s="6" t="n">
        <v>3</v>
      </c>
      <c r="I807" s="6" t="n">
        <v>25.9</v>
      </c>
      <c r="J807" s="6" t="n">
        <v>22.9</v>
      </c>
    </row>
    <row collapsed="false" customFormat="false" customHeight="false" hidden="false" ht="12.1" outlineLevel="0" r="808">
      <c r="A808" s="35" t="n">
        <v>46291</v>
      </c>
      <c r="B808" s="16" t="s">
        <v>1375</v>
      </c>
      <c r="C808" s="16" t="s">
        <v>181</v>
      </c>
      <c r="D808" s="16" t="s">
        <v>182</v>
      </c>
      <c r="E808" s="6" t="n">
        <v>1000</v>
      </c>
      <c r="F808" s="7" t="n">
        <v>2</v>
      </c>
      <c r="G808" s="6" t="n">
        <v>13.15</v>
      </c>
      <c r="H808" s="6" t="n">
        <v>3</v>
      </c>
      <c r="I808" s="6" t="n">
        <v>26.3</v>
      </c>
      <c r="J808" s="6" t="n">
        <v>23.3</v>
      </c>
    </row>
    <row collapsed="false" customFormat="false" customHeight="false" hidden="false" ht="12.1" outlineLevel="0" r="809">
      <c r="A809" s="35" t="n">
        <v>46293</v>
      </c>
      <c r="B809" s="16" t="s">
        <v>1375</v>
      </c>
      <c r="C809" s="16" t="s">
        <v>232</v>
      </c>
      <c r="D809" s="16" t="s">
        <v>233</v>
      </c>
      <c r="E809" s="6" t="n">
        <v>1000</v>
      </c>
      <c r="F809" s="7" t="n">
        <v>2</v>
      </c>
      <c r="G809" s="6" t="n">
        <v>1.64</v>
      </c>
      <c r="H809" s="6" t="n">
        <v>0</v>
      </c>
      <c r="I809" s="6" t="n">
        <v>3.28</v>
      </c>
      <c r="J809" s="6" t="n">
        <v>3.28</v>
      </c>
    </row>
    <row collapsed="false" customFormat="false" customHeight="false" hidden="false" ht="12.1" outlineLevel="0" r="810">
      <c r="A810" s="35" t="n">
        <v>46294</v>
      </c>
      <c r="B810" s="16" t="s">
        <v>1375</v>
      </c>
      <c r="C810" s="16" t="s">
        <v>106</v>
      </c>
      <c r="D810" s="16" t="s">
        <v>107</v>
      </c>
      <c r="E810" s="6" t="n">
        <v>1000</v>
      </c>
      <c r="F810" s="7" t="n">
        <v>18</v>
      </c>
      <c r="G810" s="6" t="n">
        <v>38.39</v>
      </c>
      <c r="H810" s="6" t="n">
        <v>90</v>
      </c>
      <c r="I810" s="6" t="n">
        <v>691.02</v>
      </c>
      <c r="J810" s="6" t="n">
        <v>601.02</v>
      </c>
    </row>
    <row collapsed="false" customFormat="false" customHeight="false" hidden="false" ht="12.1" outlineLevel="0" r="811">
      <c r="A811" s="35" t="n">
        <v>46294</v>
      </c>
      <c r="B811" s="16" t="s">
        <v>1375</v>
      </c>
      <c r="C811" s="16" t="s">
        <v>234</v>
      </c>
      <c r="D811" s="16" t="s">
        <v>235</v>
      </c>
      <c r="E811" s="6" t="n">
        <v>1000</v>
      </c>
      <c r="F811" s="7" t="n">
        <v>1</v>
      </c>
      <c r="G811" s="6" t="n">
        <v>19.11</v>
      </c>
      <c r="H811" s="6" t="n">
        <v>2</v>
      </c>
      <c r="I811" s="6" t="n">
        <v>19.11</v>
      </c>
      <c r="J811" s="6" t="n">
        <v>17.11</v>
      </c>
    </row>
    <row collapsed="false" customFormat="false" customHeight="false" hidden="false" ht="12.1" outlineLevel="0" r="812">
      <c r="A812" s="35" t="n">
        <v>46294</v>
      </c>
      <c r="B812" s="16" t="s">
        <v>1375</v>
      </c>
      <c r="C812" s="16" t="s">
        <v>127</v>
      </c>
      <c r="D812" s="16" t="s">
        <v>128</v>
      </c>
      <c r="E812" s="6" t="n">
        <v>1000</v>
      </c>
      <c r="F812" s="7" t="n">
        <v>14</v>
      </c>
      <c r="G812" s="6" t="n">
        <v>38.39</v>
      </c>
      <c r="H812" s="6" t="n">
        <v>70</v>
      </c>
      <c r="I812" s="6" t="n">
        <v>537.46</v>
      </c>
      <c r="J812" s="6" t="n">
        <v>467.46</v>
      </c>
    </row>
    <row collapsed="false" customFormat="false" customHeight="false" hidden="false" ht="12.1" outlineLevel="0" r="813">
      <c r="A813" s="35" t="n">
        <v>46301</v>
      </c>
      <c r="B813" s="16" t="s">
        <v>1375</v>
      </c>
      <c r="C813" s="16" t="s">
        <v>278</v>
      </c>
      <c r="D813" s="16" t="s">
        <v>279</v>
      </c>
      <c r="E813" s="6" t="n">
        <v>1000</v>
      </c>
      <c r="F813" s="7" t="n">
        <v>1</v>
      </c>
      <c r="G813" s="6" t="n">
        <v>14.51</v>
      </c>
      <c r="H813" s="6" t="n">
        <v>2</v>
      </c>
      <c r="I813" s="6" t="n">
        <v>14.51</v>
      </c>
      <c r="J813" s="6" t="n">
        <v>12.51</v>
      </c>
    </row>
    <row collapsed="false" customFormat="false" customHeight="false" hidden="false" ht="12.1" outlineLevel="0" r="814">
      <c r="A814" s="35" t="n">
        <v>46301</v>
      </c>
      <c r="B814" s="16" t="s">
        <v>1375</v>
      </c>
      <c r="C814" s="16" t="s">
        <v>142</v>
      </c>
      <c r="D814" s="16" t="s">
        <v>143</v>
      </c>
      <c r="E814" s="6" t="n">
        <v>1000</v>
      </c>
      <c r="F814" s="7" t="n">
        <v>5</v>
      </c>
      <c r="G814" s="6" t="n">
        <v>102.92</v>
      </c>
      <c r="H814" s="6" t="n">
        <v>67</v>
      </c>
      <c r="I814" s="6" t="n">
        <v>514.6</v>
      </c>
      <c r="J814" s="6" t="n">
        <v>447.6</v>
      </c>
    </row>
    <row collapsed="false" customFormat="false" customHeight="false" hidden="false" ht="12.1" outlineLevel="0" r="815">
      <c r="A815" s="35" t="n">
        <v>46301</v>
      </c>
      <c r="B815" s="16" t="s">
        <v>1375</v>
      </c>
      <c r="C815" s="16" t="s">
        <v>121</v>
      </c>
      <c r="D815" s="16" t="s">
        <v>122</v>
      </c>
      <c r="E815" s="6" t="n">
        <v>1000</v>
      </c>
      <c r="F815" s="7" t="n">
        <v>12</v>
      </c>
      <c r="G815" s="6" t="n">
        <v>59.84</v>
      </c>
      <c r="H815" s="6" t="n">
        <v>93</v>
      </c>
      <c r="I815" s="6" t="n">
        <v>718.08</v>
      </c>
      <c r="J815" s="6" t="n">
        <v>625.08</v>
      </c>
    </row>
    <row collapsed="false" customFormat="false" customHeight="false" hidden="false" ht="12.1" outlineLevel="0" r="816">
      <c r="A816" s="35" t="n">
        <v>46302</v>
      </c>
      <c r="B816" s="16" t="s">
        <v>1375</v>
      </c>
      <c r="C816" s="16" t="s">
        <v>254</v>
      </c>
      <c r="D816" s="16" t="s">
        <v>255</v>
      </c>
      <c r="E816" s="6" t="n">
        <v>1000</v>
      </c>
      <c r="F816" s="7" t="n">
        <v>1</v>
      </c>
      <c r="G816" s="6" t="n">
        <v>11.38</v>
      </c>
      <c r="H816" s="6" t="n">
        <v>1</v>
      </c>
      <c r="I816" s="6" t="n">
        <v>11.38</v>
      </c>
      <c r="J816" s="6" t="n">
        <v>10.38</v>
      </c>
    </row>
    <row collapsed="false" customFormat="false" customHeight="false" hidden="false" ht="12.1" outlineLevel="0" r="817">
      <c r="A817" s="35" t="n">
        <v>46307</v>
      </c>
      <c r="B817" s="16" t="s">
        <v>1375</v>
      </c>
      <c r="C817" s="16" t="s">
        <v>217</v>
      </c>
      <c r="D817" s="16" t="s">
        <v>218</v>
      </c>
      <c r="E817" s="6" t="n">
        <v>1000</v>
      </c>
      <c r="F817" s="7" t="n">
        <v>2</v>
      </c>
      <c r="G817" s="6" t="n">
        <v>24.93</v>
      </c>
      <c r="H817" s="6" t="n">
        <v>6</v>
      </c>
      <c r="I817" s="6" t="n">
        <v>49.86</v>
      </c>
      <c r="J817" s="6" t="n">
        <v>43.86</v>
      </c>
    </row>
    <row collapsed="false" customFormat="false" customHeight="false" hidden="false" ht="12.1" outlineLevel="0" r="818">
      <c r="A818" s="35" t="n">
        <v>46308</v>
      </c>
      <c r="B818" s="16" t="s">
        <v>1375</v>
      </c>
      <c r="C818" s="16" t="s">
        <v>305</v>
      </c>
      <c r="D818" s="16" t="s">
        <v>306</v>
      </c>
      <c r="E818" s="6" t="n">
        <v>1000</v>
      </c>
      <c r="F818" s="7" t="n">
        <v>1</v>
      </c>
      <c r="G818" s="6" t="n">
        <v>26.18</v>
      </c>
      <c r="H818" s="6" t="n">
        <v>3</v>
      </c>
      <c r="I818" s="6" t="n">
        <v>26.18</v>
      </c>
      <c r="J818" s="6" t="n">
        <v>23.18</v>
      </c>
    </row>
    <row collapsed="false" customFormat="false" customHeight="false" hidden="false" ht="12.1" outlineLevel="0" r="819">
      <c r="A819" s="35" t="n">
        <v>46308</v>
      </c>
      <c r="B819" s="16" t="s">
        <v>1375</v>
      </c>
      <c r="C819" s="16" t="s">
        <v>246</v>
      </c>
      <c r="D819" s="16" t="s">
        <v>247</v>
      </c>
      <c r="E819" s="6" t="n">
        <v>1000</v>
      </c>
      <c r="F819" s="7" t="n">
        <v>1</v>
      </c>
      <c r="G819" s="6" t="n">
        <v>20.96</v>
      </c>
      <c r="H819" s="6" t="n">
        <v>3</v>
      </c>
      <c r="I819" s="6" t="n">
        <v>20.96</v>
      </c>
      <c r="J819" s="6" t="n">
        <v>17.96</v>
      </c>
    </row>
    <row collapsed="false" customFormat="false" customHeight="false" hidden="false" ht="12.1" outlineLevel="0" r="820">
      <c r="A820" s="35" t="n">
        <v>46308</v>
      </c>
      <c r="B820" s="16" t="s">
        <v>1375</v>
      </c>
      <c r="C820" s="16" t="s">
        <v>124</v>
      </c>
      <c r="D820" s="16" t="s">
        <v>125</v>
      </c>
      <c r="E820" s="6" t="n">
        <v>1000</v>
      </c>
      <c r="F820" s="7" t="n">
        <v>13</v>
      </c>
      <c r="G820" s="6" t="n">
        <v>38.15</v>
      </c>
      <c r="H820" s="6" t="n">
        <v>64</v>
      </c>
      <c r="I820" s="6" t="n">
        <v>495.95</v>
      </c>
      <c r="J820" s="6" t="n">
        <v>431.95</v>
      </c>
    </row>
    <row collapsed="false" customFormat="false" customHeight="false" hidden="false" ht="12.1" outlineLevel="0" r="821">
      <c r="A821" s="35" t="n">
        <v>46308</v>
      </c>
      <c r="B821" s="16" t="s">
        <v>1375</v>
      </c>
      <c r="C821" s="16" t="s">
        <v>237</v>
      </c>
      <c r="D821" s="16" t="s">
        <v>238</v>
      </c>
      <c r="E821" s="6" t="n">
        <v>1000</v>
      </c>
      <c r="F821" s="7" t="n">
        <v>1</v>
      </c>
      <c r="G821" s="6" t="n">
        <v>97.23</v>
      </c>
      <c r="H821" s="6" t="n">
        <v>13</v>
      </c>
      <c r="I821" s="6" t="n">
        <v>97.23</v>
      </c>
      <c r="J821" s="6" t="n">
        <v>84.23</v>
      </c>
    </row>
    <row collapsed="false" customFormat="false" customHeight="false" hidden="false" ht="12.1" outlineLevel="0" r="822">
      <c r="A822" s="35" t="n">
        <v>46309</v>
      </c>
      <c r="B822" s="16" t="s">
        <v>1375</v>
      </c>
      <c r="C822" s="16" t="s">
        <v>178</v>
      </c>
      <c r="D822" s="16" t="s">
        <v>179</v>
      </c>
      <c r="E822" s="6" t="n">
        <v>1000</v>
      </c>
      <c r="F822" s="7" t="n">
        <v>2</v>
      </c>
      <c r="G822" s="6" t="n">
        <v>43.13</v>
      </c>
      <c r="H822" s="6" t="n">
        <v>11</v>
      </c>
      <c r="I822" s="6" t="n">
        <v>86.26</v>
      </c>
      <c r="J822" s="6" t="n">
        <v>75.26</v>
      </c>
    </row>
    <row collapsed="false" customFormat="false" customHeight="false" hidden="false" ht="12.1" outlineLevel="0" r="823">
      <c r="A823" s="35" t="n">
        <v>46309</v>
      </c>
      <c r="B823" s="16" t="s">
        <v>1375</v>
      </c>
      <c r="C823" s="16" t="s">
        <v>323</v>
      </c>
      <c r="D823" s="16" t="s">
        <v>324</v>
      </c>
      <c r="E823" s="6" t="n">
        <v>1000</v>
      </c>
      <c r="F823" s="7" t="n">
        <v>1</v>
      </c>
      <c r="G823" s="6" t="n">
        <v>5.59</v>
      </c>
      <c r="H823" s="6" t="n">
        <v>1</v>
      </c>
      <c r="I823" s="6" t="n">
        <v>5.59</v>
      </c>
      <c r="J823" s="6" t="n">
        <v>4.59</v>
      </c>
    </row>
    <row collapsed="false" customFormat="false" customHeight="false" hidden="false" ht="12.1" outlineLevel="0" r="824">
      <c r="A824" s="35" t="n">
        <v>46310</v>
      </c>
      <c r="B824" s="16" t="s">
        <v>1375</v>
      </c>
      <c r="C824" s="16" t="s">
        <v>257</v>
      </c>
      <c r="D824" s="16" t="s">
        <v>258</v>
      </c>
      <c r="E824" s="6" t="n">
        <v>1000</v>
      </c>
      <c r="F824" s="7" t="n">
        <v>1</v>
      </c>
      <c r="G824" s="6" t="n">
        <v>14.48</v>
      </c>
      <c r="H824" s="6" t="n">
        <v>2</v>
      </c>
      <c r="I824" s="6" t="n">
        <v>14.48</v>
      </c>
      <c r="J824" s="6" t="n">
        <v>12.48</v>
      </c>
    </row>
    <row collapsed="false" customFormat="false" customHeight="false" hidden="false" ht="12.1" outlineLevel="0" r="825">
      <c r="A825" s="35" t="n">
        <v>46311</v>
      </c>
      <c r="B825" s="16" t="s">
        <v>1375</v>
      </c>
      <c r="C825" s="16" t="s">
        <v>202</v>
      </c>
      <c r="D825" s="16" t="s">
        <v>203</v>
      </c>
      <c r="E825" s="6" t="n">
        <v>1000</v>
      </c>
      <c r="F825" s="7" t="n">
        <v>2</v>
      </c>
      <c r="G825" s="6" t="n">
        <v>13.64</v>
      </c>
      <c r="H825" s="6" t="n">
        <v>4</v>
      </c>
      <c r="I825" s="6" t="n">
        <v>27.28</v>
      </c>
      <c r="J825" s="6" t="n">
        <v>23.28</v>
      </c>
    </row>
    <row collapsed="false" customFormat="false" customHeight="false" hidden="false" ht="12.1" outlineLevel="0" r="826">
      <c r="A826" s="35" t="n">
        <v>46312</v>
      </c>
      <c r="B826" s="16" t="s">
        <v>1375</v>
      </c>
      <c r="C826" s="16" t="s">
        <v>190</v>
      </c>
      <c r="D826" s="16" t="s">
        <v>191</v>
      </c>
      <c r="E826" s="6" t="n">
        <v>1000</v>
      </c>
      <c r="F826" s="7" t="n">
        <v>2</v>
      </c>
      <c r="G826" s="6" t="n">
        <v>13.77</v>
      </c>
      <c r="H826" s="6" t="n">
        <v>4</v>
      </c>
      <c r="I826" s="6" t="n">
        <v>27.54</v>
      </c>
      <c r="J826" s="6" t="n">
        <v>23.54</v>
      </c>
    </row>
    <row collapsed="false" customFormat="false" customHeight="false" hidden="false" ht="12.1" outlineLevel="0" r="827">
      <c r="A827" s="35" t="n">
        <v>46313</v>
      </c>
      <c r="B827" s="16" t="s">
        <v>1375</v>
      </c>
      <c r="C827" s="16" t="s">
        <v>263</v>
      </c>
      <c r="D827" s="16" t="s">
        <v>264</v>
      </c>
      <c r="E827" s="6" t="n">
        <v>1000</v>
      </c>
      <c r="F827" s="7" t="n">
        <v>1</v>
      </c>
      <c r="G827" s="6" t="n">
        <v>12.66</v>
      </c>
      <c r="H827" s="6" t="n">
        <v>2</v>
      </c>
      <c r="I827" s="6" t="n">
        <v>12.66</v>
      </c>
      <c r="J827" s="6" t="n">
        <v>10.66</v>
      </c>
    </row>
    <row collapsed="false" customFormat="false" customHeight="false" hidden="false" ht="12.1" outlineLevel="0" r="828">
      <c r="A828" s="35" t="n">
        <v>46314</v>
      </c>
      <c r="B828" s="16" t="s">
        <v>1375</v>
      </c>
      <c r="C828" s="16" t="s">
        <v>243</v>
      </c>
      <c r="D828" s="16" t="s">
        <v>244</v>
      </c>
      <c r="E828" s="6" t="n">
        <v>1000</v>
      </c>
      <c r="F828" s="7" t="n">
        <v>1</v>
      </c>
      <c r="G828" s="6" t="n">
        <v>14.79</v>
      </c>
      <c r="H828" s="6" t="n">
        <v>2</v>
      </c>
      <c r="I828" s="6" t="n">
        <v>14.79</v>
      </c>
      <c r="J828" s="6" t="n">
        <v>12.79</v>
      </c>
    </row>
    <row collapsed="false" customFormat="false" customHeight="false" hidden="false" ht="12.1" outlineLevel="0" r="829">
      <c r="A829" s="35" t="n">
        <v>46315</v>
      </c>
      <c r="B829" s="16" t="s">
        <v>1375</v>
      </c>
      <c r="C829" s="16" t="s">
        <v>252</v>
      </c>
      <c r="D829" s="16" t="s">
        <v>253</v>
      </c>
      <c r="E829" s="6" t="n">
        <v>1000</v>
      </c>
      <c r="F829" s="7" t="n">
        <v>1</v>
      </c>
      <c r="G829" s="6" t="n">
        <v>14.61</v>
      </c>
      <c r="H829" s="6" t="n">
        <v>2</v>
      </c>
      <c r="I829" s="6" t="n">
        <v>14.61</v>
      </c>
      <c r="J829" s="6" t="n">
        <v>12.61</v>
      </c>
    </row>
    <row collapsed="false" customFormat="false" customHeight="false" hidden="false" ht="12.1" outlineLevel="0" r="830">
      <c r="A830" s="35" t="n">
        <v>46315</v>
      </c>
      <c r="B830" s="16" t="s">
        <v>1375</v>
      </c>
      <c r="C830" s="16" t="s">
        <v>249</v>
      </c>
      <c r="D830" s="16" t="s">
        <v>250</v>
      </c>
      <c r="E830" s="6" t="n">
        <v>1000</v>
      </c>
      <c r="F830" s="7" t="n">
        <v>1</v>
      </c>
      <c r="G830" s="6" t="n">
        <v>11.42</v>
      </c>
      <c r="H830" s="6" t="n">
        <v>1</v>
      </c>
      <c r="I830" s="6" t="n">
        <v>11.42</v>
      </c>
      <c r="J830" s="6" t="n">
        <v>10.42</v>
      </c>
    </row>
    <row collapsed="false" customFormat="false" customHeight="false" hidden="false" ht="12.1" outlineLevel="0" r="831">
      <c r="A831" s="35" t="n">
        <v>46315</v>
      </c>
      <c r="B831" s="16" t="s">
        <v>1375</v>
      </c>
      <c r="C831" s="16" t="s">
        <v>205</v>
      </c>
      <c r="D831" s="16" t="s">
        <v>206</v>
      </c>
      <c r="E831" s="6" t="n">
        <v>1000</v>
      </c>
      <c r="F831" s="7" t="n">
        <v>2</v>
      </c>
      <c r="G831" s="6" t="n">
        <v>64.82</v>
      </c>
      <c r="H831" s="6" t="n">
        <v>17</v>
      </c>
      <c r="I831" s="6" t="n">
        <v>129.64</v>
      </c>
      <c r="J831" s="6" t="n">
        <v>112.64</v>
      </c>
    </row>
    <row collapsed="false" customFormat="false" customHeight="false" hidden="false" ht="12.1" outlineLevel="0" r="832">
      <c r="A832" s="35" t="n">
        <v>46315</v>
      </c>
      <c r="B832" s="16" t="s">
        <v>1375</v>
      </c>
      <c r="C832" s="16" t="s">
        <v>208</v>
      </c>
      <c r="D832" s="16" t="s">
        <v>209</v>
      </c>
      <c r="E832" s="6" t="n">
        <v>1000</v>
      </c>
      <c r="F832" s="7" t="n">
        <v>2</v>
      </c>
      <c r="G832" s="6" t="n">
        <v>64.82</v>
      </c>
      <c r="H832" s="6" t="n">
        <v>17</v>
      </c>
      <c r="I832" s="6" t="n">
        <v>129.64</v>
      </c>
      <c r="J832" s="6" t="n">
        <v>112.64</v>
      </c>
    </row>
    <row collapsed="false" customFormat="false" customHeight="false" hidden="false" ht="12.1" outlineLevel="0" r="833">
      <c r="A833" s="35" t="n">
        <v>46315</v>
      </c>
      <c r="B833" s="16" t="s">
        <v>1375</v>
      </c>
      <c r="C833" s="16" t="s">
        <v>169</v>
      </c>
      <c r="D833" s="16" t="s">
        <v>170</v>
      </c>
      <c r="E833" s="6" t="n">
        <v>1000</v>
      </c>
      <c r="F833" s="7" t="n">
        <v>3</v>
      </c>
      <c r="G833" s="6" t="n">
        <v>62.33</v>
      </c>
      <c r="H833" s="6" t="n">
        <v>24</v>
      </c>
      <c r="I833" s="6" t="n">
        <v>186.99</v>
      </c>
      <c r="J833" s="6" t="n">
        <v>162.99</v>
      </c>
    </row>
    <row collapsed="false" customFormat="false" customHeight="false" hidden="false" ht="12.1" outlineLevel="0" r="834">
      <c r="A834" s="35" t="n">
        <v>46315</v>
      </c>
      <c r="B834" s="16" t="s">
        <v>1375</v>
      </c>
      <c r="C834" s="16" t="s">
        <v>272</v>
      </c>
      <c r="D834" s="16" t="s">
        <v>273</v>
      </c>
      <c r="E834" s="6" t="n">
        <v>1000</v>
      </c>
      <c r="F834" s="7" t="n">
        <v>1</v>
      </c>
      <c r="G834" s="6" t="n">
        <v>44.13</v>
      </c>
      <c r="H834" s="6" t="n">
        <v>6</v>
      </c>
      <c r="I834" s="6" t="n">
        <v>44.13</v>
      </c>
      <c r="J834" s="6" t="n">
        <v>38.13</v>
      </c>
    </row>
    <row collapsed="false" customFormat="false" customHeight="false" hidden="false" ht="12.1" outlineLevel="0" r="835">
      <c r="A835" s="35" t="n">
        <v>46316</v>
      </c>
      <c r="B835" s="16" t="s">
        <v>1375</v>
      </c>
      <c r="C835" s="16" t="s">
        <v>184</v>
      </c>
      <c r="D835" s="16" t="s">
        <v>185</v>
      </c>
      <c r="E835" s="6" t="n">
        <v>1000</v>
      </c>
      <c r="F835" s="7" t="n">
        <v>2</v>
      </c>
      <c r="G835" s="6" t="n">
        <v>13.68</v>
      </c>
      <c r="H835" s="6" t="n">
        <v>4</v>
      </c>
      <c r="I835" s="6" t="n">
        <v>27.36</v>
      </c>
      <c r="J835" s="6" t="n">
        <v>23.36</v>
      </c>
    </row>
    <row collapsed="false" customFormat="false" customHeight="false" hidden="false" ht="12.1" outlineLevel="0" r="836">
      <c r="A836" s="35" t="n">
        <v>46319</v>
      </c>
      <c r="B836" s="16" t="s">
        <v>1375</v>
      </c>
      <c r="C836" s="16" t="s">
        <v>193</v>
      </c>
      <c r="D836" s="16" t="s">
        <v>194</v>
      </c>
      <c r="E836" s="6" t="n">
        <v>1000</v>
      </c>
      <c r="F836" s="7" t="n">
        <v>2</v>
      </c>
      <c r="G836" s="6" t="n">
        <v>12.95</v>
      </c>
      <c r="H836" s="6" t="n">
        <v>3</v>
      </c>
      <c r="I836" s="6" t="n">
        <v>25.9</v>
      </c>
      <c r="J836" s="6" t="n">
        <v>22.9</v>
      </c>
    </row>
    <row collapsed="false" customFormat="false" customHeight="false" hidden="false" ht="12.1" outlineLevel="0" r="837">
      <c r="A837" s="35" t="n">
        <v>46319</v>
      </c>
      <c r="B837" s="16" t="s">
        <v>1375</v>
      </c>
      <c r="C837" s="16" t="s">
        <v>317</v>
      </c>
      <c r="D837" s="16" t="s">
        <v>318</v>
      </c>
      <c r="E837" s="6" t="n">
        <v>1000</v>
      </c>
      <c r="F837" s="7" t="n">
        <v>1</v>
      </c>
      <c r="G837" s="6" t="n">
        <v>14.28</v>
      </c>
      <c r="H837" s="6" t="n">
        <v>2</v>
      </c>
      <c r="I837" s="6" t="n">
        <v>14.28</v>
      </c>
      <c r="J837" s="6" t="n">
        <v>12.28</v>
      </c>
    </row>
    <row collapsed="false" customFormat="false" customHeight="false" hidden="false" ht="12.1" outlineLevel="0" r="838">
      <c r="A838" s="35" t="n">
        <v>46321</v>
      </c>
      <c r="B838" s="16" t="s">
        <v>1375</v>
      </c>
      <c r="C838" s="16" t="s">
        <v>226</v>
      </c>
      <c r="D838" s="16" t="s">
        <v>227</v>
      </c>
      <c r="E838" s="6" t="n">
        <v>875</v>
      </c>
      <c r="F838" s="7" t="n">
        <v>2</v>
      </c>
      <c r="G838" s="6" t="n">
        <v>18.23</v>
      </c>
      <c r="H838" s="6" t="n">
        <v>5</v>
      </c>
      <c r="I838" s="6" t="n">
        <v>36.46</v>
      </c>
      <c r="J838" s="6" t="n">
        <v>31.46</v>
      </c>
    </row>
    <row collapsed="false" customFormat="false" customHeight="false" hidden="false" ht="12.1" outlineLevel="0" r="839">
      <c r="A839" s="35" t="n">
        <v>46321</v>
      </c>
      <c r="B839" s="16" t="s">
        <v>1375</v>
      </c>
      <c r="C839" s="16" t="s">
        <v>181</v>
      </c>
      <c r="D839" s="16" t="s">
        <v>182</v>
      </c>
      <c r="E839" s="6" t="n">
        <v>1000</v>
      </c>
      <c r="F839" s="7" t="n">
        <v>2</v>
      </c>
      <c r="G839" s="6" t="n">
        <v>13.15</v>
      </c>
      <c r="H839" s="6" t="n">
        <v>3</v>
      </c>
      <c r="I839" s="6" t="n">
        <v>26.3</v>
      </c>
      <c r="J839" s="6" t="n">
        <v>23.3</v>
      </c>
    </row>
    <row collapsed="false" customFormat="false" customHeight="false" hidden="false" ht="12.1" outlineLevel="0" r="840">
      <c r="A840" s="35" t="n">
        <v>46321</v>
      </c>
      <c r="B840" s="16" t="s">
        <v>1375</v>
      </c>
      <c r="C840" s="16" t="s">
        <v>290</v>
      </c>
      <c r="D840" s="16" t="s">
        <v>291</v>
      </c>
      <c r="E840" s="6" t="n">
        <v>1000</v>
      </c>
      <c r="F840" s="7" t="n">
        <v>1</v>
      </c>
      <c r="G840" s="6" t="n">
        <v>28.22</v>
      </c>
      <c r="H840" s="6" t="n">
        <v>4</v>
      </c>
      <c r="I840" s="6" t="n">
        <v>28.22</v>
      </c>
      <c r="J840" s="6" t="n">
        <v>24.22</v>
      </c>
    </row>
    <row collapsed="false" customFormat="false" customHeight="false" hidden="false" ht="12.1" outlineLevel="0" r="841">
      <c r="A841" s="35" t="n">
        <v>46322</v>
      </c>
      <c r="B841" s="16" t="s">
        <v>1375</v>
      </c>
      <c r="C841" s="16" t="s">
        <v>293</v>
      </c>
      <c r="D841" s="16" t="s">
        <v>294</v>
      </c>
      <c r="E841" s="6" t="n">
        <v>1000</v>
      </c>
      <c r="F841" s="7" t="n">
        <v>1</v>
      </c>
      <c r="G841" s="6" t="n">
        <v>40.15</v>
      </c>
      <c r="H841" s="6" t="n">
        <v>5</v>
      </c>
      <c r="I841" s="6" t="n">
        <v>40.15</v>
      </c>
      <c r="J841" s="6" t="n">
        <v>35.15</v>
      </c>
    </row>
    <row collapsed="false" customFormat="false" customHeight="false" hidden="false" ht="12.1" outlineLevel="0" r="842">
      <c r="A842" s="35" t="n">
        <v>46323</v>
      </c>
      <c r="B842" s="16" t="s">
        <v>1375</v>
      </c>
      <c r="C842" s="16" t="s">
        <v>232</v>
      </c>
      <c r="D842" s="16" t="s">
        <v>233</v>
      </c>
      <c r="E842" s="6" t="n">
        <v>1000</v>
      </c>
      <c r="F842" s="7" t="n">
        <v>2</v>
      </c>
      <c r="G842" s="6" t="n">
        <v>1.64</v>
      </c>
      <c r="H842" s="6" t="n">
        <v>0</v>
      </c>
      <c r="I842" s="6" t="n">
        <v>3.28</v>
      </c>
      <c r="J842" s="6" t="n">
        <v>3.28</v>
      </c>
    </row>
    <row collapsed="false" customFormat="false" customHeight="false" hidden="false" ht="12.1" outlineLevel="0" r="843">
      <c r="A843" s="35" t="n">
        <v>46324</v>
      </c>
      <c r="B843" s="16" t="s">
        <v>1375</v>
      </c>
      <c r="C843" s="16" t="s">
        <v>299</v>
      </c>
      <c r="D843" s="16" t="s">
        <v>300</v>
      </c>
      <c r="E843" s="6" t="n">
        <v>1000</v>
      </c>
      <c r="F843" s="7" t="n">
        <v>1</v>
      </c>
      <c r="G843" s="6" t="n">
        <v>23.86</v>
      </c>
      <c r="H843" s="6" t="n">
        <v>3</v>
      </c>
      <c r="I843" s="6" t="n">
        <v>23.86</v>
      </c>
      <c r="J843" s="6" t="n">
        <v>20.86</v>
      </c>
    </row>
    <row collapsed="false" customFormat="false" customHeight="false" hidden="false" ht="12.1" outlineLevel="0" r="844">
      <c r="A844" s="35" t="n">
        <v>46324</v>
      </c>
      <c r="B844" s="16" t="s">
        <v>1375</v>
      </c>
      <c r="C844" s="16" t="s">
        <v>284</v>
      </c>
      <c r="D844" s="16" t="s">
        <v>285</v>
      </c>
      <c r="E844" s="6" t="n">
        <v>1000</v>
      </c>
      <c r="F844" s="7" t="n">
        <v>1</v>
      </c>
      <c r="G844" s="6" t="n">
        <v>59.19</v>
      </c>
      <c r="H844" s="6" t="n">
        <v>8</v>
      </c>
      <c r="I844" s="6" t="n">
        <v>59.19</v>
      </c>
      <c r="J844" s="6" t="n">
        <v>51.19</v>
      </c>
    </row>
    <row collapsed="false" customFormat="false" customHeight="false" hidden="false" ht="12.1" outlineLevel="0" r="845">
      <c r="A845" s="35" t="n">
        <v>46324</v>
      </c>
      <c r="B845" s="16" t="s">
        <v>1375</v>
      </c>
      <c r="C845" s="16" t="s">
        <v>234</v>
      </c>
      <c r="D845" s="16" t="s">
        <v>235</v>
      </c>
      <c r="E845" s="6" t="n">
        <v>1000</v>
      </c>
      <c r="F845" s="7" t="n">
        <v>1</v>
      </c>
      <c r="G845" s="6" t="n">
        <v>19.11</v>
      </c>
      <c r="H845" s="6" t="n">
        <v>2</v>
      </c>
      <c r="I845" s="6" t="n">
        <v>19.11</v>
      </c>
      <c r="J845" s="6" t="n">
        <v>17.11</v>
      </c>
    </row>
    <row collapsed="false" customFormat="false" customHeight="false" hidden="false" ht="12.1" outlineLevel="0" r="846">
      <c r="A846" s="35" t="n">
        <v>46331</v>
      </c>
      <c r="B846" s="16" t="s">
        <v>1375</v>
      </c>
      <c r="C846" s="16" t="s">
        <v>223</v>
      </c>
      <c r="D846" s="16" t="s">
        <v>224</v>
      </c>
      <c r="E846" s="6" t="n">
        <v>1000</v>
      </c>
      <c r="F846" s="7" t="n">
        <v>2</v>
      </c>
      <c r="G846" s="6" t="n">
        <v>45.38</v>
      </c>
      <c r="H846" s="6" t="n">
        <v>12</v>
      </c>
      <c r="I846" s="6" t="n">
        <v>90.76</v>
      </c>
      <c r="J846" s="6" t="n">
        <v>78.76</v>
      </c>
    </row>
    <row collapsed="false" customFormat="false" customHeight="false" hidden="false" ht="12.1" outlineLevel="0" r="847">
      <c r="A847" s="35" t="n">
        <v>46332</v>
      </c>
      <c r="B847" s="16" t="s">
        <v>1375</v>
      </c>
      <c r="C847" s="16" t="s">
        <v>278</v>
      </c>
      <c r="D847" s="16" t="s">
        <v>279</v>
      </c>
      <c r="E847" s="6" t="n">
        <v>1000</v>
      </c>
      <c r="F847" s="7" t="n">
        <v>1</v>
      </c>
      <c r="G847" s="6" t="n">
        <v>14.51</v>
      </c>
      <c r="H847" s="6" t="n">
        <v>2</v>
      </c>
      <c r="I847" s="6" t="n">
        <v>14.51</v>
      </c>
      <c r="J847" s="6" t="n">
        <v>12.51</v>
      </c>
    </row>
    <row collapsed="false" customFormat="false" customHeight="false" hidden="false" ht="12.1" outlineLevel="0" r="848">
      <c r="A848" s="35" t="n">
        <v>46332</v>
      </c>
      <c r="B848" s="16" t="s">
        <v>1375</v>
      </c>
      <c r="C848" s="16" t="s">
        <v>254</v>
      </c>
      <c r="D848" s="16" t="s">
        <v>255</v>
      </c>
      <c r="E848" s="6" t="n">
        <v>1000</v>
      </c>
      <c r="F848" s="7" t="n">
        <v>1</v>
      </c>
      <c r="G848" s="6" t="n">
        <v>11.38</v>
      </c>
      <c r="H848" s="6" t="n">
        <v>1</v>
      </c>
      <c r="I848" s="6" t="n">
        <v>11.38</v>
      </c>
      <c r="J848" s="6" t="n">
        <v>10.38</v>
      </c>
    </row>
    <row collapsed="false" customFormat="false" customHeight="false" hidden="false" ht="12.1" outlineLevel="0" r="849">
      <c r="A849" s="35" t="n">
        <v>46336</v>
      </c>
      <c r="B849" s="16" t="s">
        <v>1375</v>
      </c>
      <c r="C849" s="16" t="s">
        <v>109</v>
      </c>
      <c r="D849" s="16" t="s">
        <v>110</v>
      </c>
      <c r="E849" s="6" t="n">
        <v>1000</v>
      </c>
      <c r="F849" s="7" t="n">
        <v>11</v>
      </c>
      <c r="G849" s="6" t="n">
        <v>99.18</v>
      </c>
      <c r="H849" s="6" t="n">
        <v>142</v>
      </c>
      <c r="I849" s="6" t="n">
        <v>1090.98</v>
      </c>
      <c r="J849" s="6" t="n">
        <v>948.98</v>
      </c>
    </row>
    <row collapsed="false" customFormat="false" customHeight="false" hidden="false" ht="12.1" outlineLevel="0" r="850">
      <c r="A850" s="35" t="n">
        <v>46338</v>
      </c>
      <c r="B850" s="16" t="s">
        <v>1375</v>
      </c>
      <c r="C850" s="16" t="s">
        <v>246</v>
      </c>
      <c r="D850" s="16" t="s">
        <v>247</v>
      </c>
      <c r="E850" s="6" t="n">
        <v>1000</v>
      </c>
      <c r="F850" s="7" t="n">
        <v>1</v>
      </c>
      <c r="G850" s="6" t="n">
        <v>20.96</v>
      </c>
      <c r="H850" s="6" t="n">
        <v>3</v>
      </c>
      <c r="I850" s="6" t="n">
        <v>20.96</v>
      </c>
      <c r="J850" s="6" t="n">
        <v>17.96</v>
      </c>
    </row>
    <row collapsed="false" customFormat="false" customHeight="false" hidden="false" ht="12.1" outlineLevel="0" r="851">
      <c r="A851" s="35" t="n">
        <v>46339</v>
      </c>
      <c r="B851" s="16" t="s">
        <v>1375</v>
      </c>
      <c r="C851" s="16" t="s">
        <v>323</v>
      </c>
      <c r="D851" s="16" t="s">
        <v>324</v>
      </c>
      <c r="E851" s="6" t="n">
        <v>1000</v>
      </c>
      <c r="F851" s="7" t="n">
        <v>1</v>
      </c>
      <c r="G851" s="6" t="n">
        <v>5.59</v>
      </c>
      <c r="H851" s="6" t="n">
        <v>1</v>
      </c>
      <c r="I851" s="6" t="n">
        <v>5.59</v>
      </c>
      <c r="J851" s="6" t="n">
        <v>4.59</v>
      </c>
    </row>
    <row collapsed="false" customFormat="false" customHeight="false" hidden="false" ht="12.1" outlineLevel="0" r="852">
      <c r="A852" s="35" t="n">
        <v>46341</v>
      </c>
      <c r="B852" s="16" t="s">
        <v>1375</v>
      </c>
      <c r="C852" s="16" t="s">
        <v>257</v>
      </c>
      <c r="D852" s="16" t="s">
        <v>258</v>
      </c>
      <c r="E852" s="6" t="n">
        <v>1000</v>
      </c>
      <c r="F852" s="7" t="n">
        <v>1</v>
      </c>
      <c r="G852" s="6" t="n">
        <v>14.48</v>
      </c>
      <c r="H852" s="6" t="n">
        <v>2</v>
      </c>
      <c r="I852" s="6" t="n">
        <v>14.48</v>
      </c>
      <c r="J852" s="6" t="n">
        <v>12.48</v>
      </c>
    </row>
    <row collapsed="false" customFormat="false" customHeight="false" hidden="false" ht="12.1" outlineLevel="0" r="853">
      <c r="A853" s="35" t="n">
        <v>46342</v>
      </c>
      <c r="B853" s="16" t="s">
        <v>1375</v>
      </c>
      <c r="C853" s="16" t="s">
        <v>190</v>
      </c>
      <c r="D853" s="16" t="s">
        <v>191</v>
      </c>
      <c r="E853" s="6" t="n">
        <v>1000</v>
      </c>
      <c r="F853" s="7" t="n">
        <v>2</v>
      </c>
      <c r="G853" s="6" t="n">
        <v>13.77</v>
      </c>
      <c r="H853" s="6" t="n">
        <v>4</v>
      </c>
      <c r="I853" s="6" t="n">
        <v>27.54</v>
      </c>
      <c r="J853" s="6" t="n">
        <v>23.54</v>
      </c>
    </row>
    <row collapsed="false" customFormat="false" customHeight="false" hidden="false" ht="12.1" outlineLevel="0" r="854">
      <c r="A854" s="35" t="n">
        <v>46343</v>
      </c>
      <c r="B854" s="16" t="s">
        <v>1375</v>
      </c>
      <c r="C854" s="16" t="s">
        <v>263</v>
      </c>
      <c r="D854" s="16" t="s">
        <v>264</v>
      </c>
      <c r="E854" s="6" t="n">
        <v>1000</v>
      </c>
      <c r="F854" s="7" t="n">
        <v>1</v>
      </c>
      <c r="G854" s="6" t="n">
        <v>12.66</v>
      </c>
      <c r="H854" s="6" t="n">
        <v>2</v>
      </c>
      <c r="I854" s="6" t="n">
        <v>12.66</v>
      </c>
      <c r="J854" s="6" t="n">
        <v>10.66</v>
      </c>
    </row>
    <row collapsed="false" customFormat="false" customHeight="false" hidden="false" ht="12.1" outlineLevel="0" r="855">
      <c r="A855" s="35" t="n">
        <v>46343</v>
      </c>
      <c r="B855" s="16" t="s">
        <v>1375</v>
      </c>
      <c r="C855" s="16" t="s">
        <v>136</v>
      </c>
      <c r="D855" s="16" t="s">
        <v>137</v>
      </c>
      <c r="E855" s="6" t="n">
        <v>1000</v>
      </c>
      <c r="F855" s="7" t="n">
        <v>14</v>
      </c>
      <c r="G855" s="6" t="n">
        <v>36.15</v>
      </c>
      <c r="H855" s="6" t="n">
        <v>66</v>
      </c>
      <c r="I855" s="6" t="n">
        <v>506.1</v>
      </c>
      <c r="J855" s="6" t="n">
        <v>440.1</v>
      </c>
    </row>
    <row collapsed="false" customFormat="false" customHeight="false" hidden="false" ht="12.1" outlineLevel="0" r="856">
      <c r="A856" s="35" t="n">
        <v>46343</v>
      </c>
      <c r="B856" s="16" t="s">
        <v>1375</v>
      </c>
      <c r="C856" s="16" t="s">
        <v>139</v>
      </c>
      <c r="D856" s="16" t="s">
        <v>140</v>
      </c>
      <c r="E856" s="6" t="n">
        <v>1242.73</v>
      </c>
      <c r="F856" s="7" t="n">
        <v>6</v>
      </c>
      <c r="G856" s="6" t="n">
        <v>15.55</v>
      </c>
      <c r="H856" s="6" t="n">
        <v>12</v>
      </c>
      <c r="I856" s="6" t="n">
        <v>93.3</v>
      </c>
      <c r="J856" s="6" t="n">
        <v>81.3</v>
      </c>
    </row>
    <row collapsed="false" customFormat="false" customHeight="false" hidden="false" ht="12.1" outlineLevel="0" r="857">
      <c r="A857" s="35" t="n">
        <v>46344</v>
      </c>
      <c r="B857" s="16" t="s">
        <v>1375</v>
      </c>
      <c r="C857" s="16" t="s">
        <v>243</v>
      </c>
      <c r="D857" s="16" t="s">
        <v>244</v>
      </c>
      <c r="E857" s="6" t="n">
        <v>1000</v>
      </c>
      <c r="F857" s="7" t="n">
        <v>1</v>
      </c>
      <c r="G857" s="6" t="n">
        <v>14.79</v>
      </c>
      <c r="H857" s="6" t="n">
        <v>2</v>
      </c>
      <c r="I857" s="6" t="n">
        <v>14.79</v>
      </c>
      <c r="J857" s="6" t="n">
        <v>12.79</v>
      </c>
    </row>
    <row collapsed="false" customFormat="false" customHeight="false" hidden="false" ht="12.1" outlineLevel="0" r="858">
      <c r="A858" s="35" t="n">
        <v>46344</v>
      </c>
      <c r="B858" s="16" t="s">
        <v>1375</v>
      </c>
      <c r="C858" s="16" t="s">
        <v>187</v>
      </c>
      <c r="D858" s="16" t="s">
        <v>188</v>
      </c>
      <c r="E858" s="6" t="n">
        <v>1000</v>
      </c>
      <c r="F858" s="7" t="n">
        <v>2</v>
      </c>
      <c r="G858" s="6" t="n">
        <v>39.87</v>
      </c>
      <c r="H858" s="6" t="n">
        <v>10</v>
      </c>
      <c r="I858" s="6" t="n">
        <v>79.74</v>
      </c>
      <c r="J858" s="6" t="n">
        <v>69.74</v>
      </c>
    </row>
    <row collapsed="false" customFormat="false" customHeight="false" hidden="false" ht="12.1" outlineLevel="0" r="859">
      <c r="A859" s="35" t="n">
        <v>46344</v>
      </c>
      <c r="B859" s="16" t="s">
        <v>1375</v>
      </c>
      <c r="C859" s="16" t="s">
        <v>331</v>
      </c>
      <c r="D859" s="16" t="s">
        <v>332</v>
      </c>
      <c r="E859" s="6" t="n">
        <v>250</v>
      </c>
      <c r="F859" s="7" t="n">
        <v>1</v>
      </c>
      <c r="G859" s="6" t="n">
        <v>4.33</v>
      </c>
      <c r="H859" s="6" t="n">
        <v>1</v>
      </c>
      <c r="I859" s="6" t="n">
        <v>4.33</v>
      </c>
      <c r="J859" s="6" t="n">
        <v>3.33</v>
      </c>
    </row>
    <row collapsed="false" customFormat="false" customHeight="false" hidden="false" ht="12.1" outlineLevel="0" r="860">
      <c r="A860" s="35" t="n">
        <v>46345</v>
      </c>
      <c r="B860" s="16" t="s">
        <v>1375</v>
      </c>
      <c r="C860" s="16" t="s">
        <v>252</v>
      </c>
      <c r="D860" s="16" t="s">
        <v>253</v>
      </c>
      <c r="E860" s="6" t="n">
        <v>1000</v>
      </c>
      <c r="F860" s="7" t="n">
        <v>1</v>
      </c>
      <c r="G860" s="6" t="n">
        <v>14.61</v>
      </c>
      <c r="H860" s="6" t="n">
        <v>2</v>
      </c>
      <c r="I860" s="6" t="n">
        <v>14.61</v>
      </c>
      <c r="J860" s="6" t="n">
        <v>12.61</v>
      </c>
    </row>
    <row collapsed="false" customFormat="false" customHeight="false" hidden="false" ht="12.1" outlineLevel="0" r="861">
      <c r="A861" s="35" t="n">
        <v>46345</v>
      </c>
      <c r="B861" s="16" t="s">
        <v>1375</v>
      </c>
      <c r="C861" s="16" t="s">
        <v>249</v>
      </c>
      <c r="D861" s="16" t="s">
        <v>250</v>
      </c>
      <c r="E861" s="6" t="n">
        <v>1000</v>
      </c>
      <c r="F861" s="7" t="n">
        <v>1</v>
      </c>
      <c r="G861" s="6" t="n">
        <v>11.42</v>
      </c>
      <c r="H861" s="6" t="n">
        <v>1</v>
      </c>
      <c r="I861" s="6" t="n">
        <v>11.42</v>
      </c>
      <c r="J861" s="6" t="n">
        <v>10.42</v>
      </c>
    </row>
    <row collapsed="false" customFormat="false" customHeight="false" hidden="false" ht="12.1" outlineLevel="0" r="862">
      <c r="A862" s="35" t="n">
        <v>46346</v>
      </c>
      <c r="B862" s="16" t="s">
        <v>1375</v>
      </c>
      <c r="C862" s="16" t="s">
        <v>184</v>
      </c>
      <c r="D862" s="16" t="s">
        <v>185</v>
      </c>
      <c r="E862" s="6" t="n">
        <v>1000</v>
      </c>
      <c r="F862" s="7" t="n">
        <v>2</v>
      </c>
      <c r="G862" s="6" t="n">
        <v>13.68</v>
      </c>
      <c r="H862" s="6" t="n">
        <v>4</v>
      </c>
      <c r="I862" s="6" t="n">
        <v>27.36</v>
      </c>
      <c r="J862" s="6" t="n">
        <v>23.36</v>
      </c>
    </row>
    <row collapsed="false" customFormat="false" customHeight="false" hidden="false" ht="12.1" outlineLevel="0" r="863">
      <c r="A863" s="35" t="n">
        <v>46349</v>
      </c>
      <c r="B863" s="16" t="s">
        <v>1375</v>
      </c>
      <c r="C863" s="16" t="s">
        <v>172</v>
      </c>
      <c r="D863" s="16" t="s">
        <v>173</v>
      </c>
      <c r="E863" s="6" t="n">
        <v>1000</v>
      </c>
      <c r="F863" s="7" t="n">
        <v>3</v>
      </c>
      <c r="G863" s="6" t="n">
        <v>24.93</v>
      </c>
      <c r="H863" s="6" t="n">
        <v>10</v>
      </c>
      <c r="I863" s="6" t="n">
        <v>74.79</v>
      </c>
      <c r="J863" s="6" t="n">
        <v>64.79</v>
      </c>
    </row>
    <row collapsed="false" customFormat="false" customHeight="false" hidden="false" ht="12.1" outlineLevel="0" r="864">
      <c r="A864" s="35" t="n">
        <v>46349</v>
      </c>
      <c r="B864" s="16" t="s">
        <v>1375</v>
      </c>
      <c r="C864" s="16" t="s">
        <v>193</v>
      </c>
      <c r="D864" s="16" t="s">
        <v>194</v>
      </c>
      <c r="E864" s="6" t="n">
        <v>1000</v>
      </c>
      <c r="F864" s="7" t="n">
        <v>2</v>
      </c>
      <c r="G864" s="6" t="n">
        <v>12.95</v>
      </c>
      <c r="H864" s="6" t="n">
        <v>3</v>
      </c>
      <c r="I864" s="6" t="n">
        <v>25.9</v>
      </c>
      <c r="J864" s="6" t="n">
        <v>22.9</v>
      </c>
    </row>
    <row collapsed="false" customFormat="false" customHeight="false" hidden="false" ht="12.1" outlineLevel="0" r="865">
      <c r="A865" s="35" t="n">
        <v>46350</v>
      </c>
      <c r="B865" s="16" t="s">
        <v>1375</v>
      </c>
      <c r="C865" s="16" t="s">
        <v>118</v>
      </c>
      <c r="D865" s="16" t="s">
        <v>119</v>
      </c>
      <c r="E865" s="6" t="n">
        <v>1000</v>
      </c>
      <c r="F865" s="7" t="n">
        <v>14</v>
      </c>
      <c r="G865" s="6" t="n">
        <v>47.37</v>
      </c>
      <c r="H865" s="6" t="n">
        <v>86</v>
      </c>
      <c r="I865" s="6" t="n">
        <v>663.18</v>
      </c>
      <c r="J865" s="6" t="n">
        <v>577.18</v>
      </c>
    </row>
    <row collapsed="false" customFormat="false" customHeight="false" hidden="false" ht="12.1" outlineLevel="0" r="866">
      <c r="A866" s="35" t="n">
        <v>46350</v>
      </c>
      <c r="B866" s="16" t="s">
        <v>1375</v>
      </c>
      <c r="C866" s="16" t="s">
        <v>317</v>
      </c>
      <c r="D866" s="16" t="s">
        <v>318</v>
      </c>
      <c r="E866" s="6" t="n">
        <v>1000</v>
      </c>
      <c r="F866" s="7" t="n">
        <v>1</v>
      </c>
      <c r="G866" s="6" t="n">
        <v>14.28</v>
      </c>
      <c r="H866" s="6" t="n">
        <v>2</v>
      </c>
      <c r="I866" s="6" t="n">
        <v>14.28</v>
      </c>
      <c r="J866" s="6" t="n">
        <v>12.28</v>
      </c>
    </row>
    <row collapsed="false" customFormat="false" customHeight="false" hidden="false" ht="12.1" outlineLevel="0" r="867">
      <c r="A867" s="35" t="n">
        <v>46350</v>
      </c>
      <c r="B867" s="16" t="s">
        <v>1375</v>
      </c>
      <c r="C867" s="16" t="s">
        <v>115</v>
      </c>
      <c r="D867" s="16" t="s">
        <v>116</v>
      </c>
      <c r="E867" s="6" t="n">
        <v>1000</v>
      </c>
      <c r="F867" s="7" t="n">
        <v>13</v>
      </c>
      <c r="G867" s="6" t="n">
        <v>61.08</v>
      </c>
      <c r="H867" s="6" t="n">
        <v>103</v>
      </c>
      <c r="I867" s="6" t="n">
        <v>794.04</v>
      </c>
      <c r="J867" s="6" t="n">
        <v>691.04</v>
      </c>
    </row>
    <row collapsed="false" customFormat="false" customHeight="false" hidden="false" ht="12.1" outlineLevel="0" r="868">
      <c r="A868" s="35" t="n">
        <v>46351</v>
      </c>
      <c r="B868" s="16" t="s">
        <v>1375</v>
      </c>
      <c r="C868" s="16" t="s">
        <v>181</v>
      </c>
      <c r="D868" s="16" t="s">
        <v>182</v>
      </c>
      <c r="E868" s="6" t="n">
        <v>1000</v>
      </c>
      <c r="F868" s="7" t="n">
        <v>2</v>
      </c>
      <c r="G868" s="6" t="n">
        <v>13.15</v>
      </c>
      <c r="H868" s="6" t="n">
        <v>3</v>
      </c>
      <c r="I868" s="6" t="n">
        <v>26.3</v>
      </c>
      <c r="J868" s="6" t="n">
        <v>23.3</v>
      </c>
    </row>
    <row collapsed="false" customFormat="false" customHeight="false" hidden="false" ht="12.1" outlineLevel="0" r="869">
      <c r="A869" s="35" t="n">
        <v>46353</v>
      </c>
      <c r="B869" s="16" t="s">
        <v>1375</v>
      </c>
      <c r="C869" s="16" t="s">
        <v>232</v>
      </c>
      <c r="D869" s="16" t="s">
        <v>233</v>
      </c>
      <c r="E869" s="6" t="n">
        <v>1000</v>
      </c>
      <c r="F869" s="7" t="n">
        <v>2</v>
      </c>
      <c r="G869" s="6" t="n">
        <v>1.64</v>
      </c>
      <c r="H869" s="6" t="n">
        <v>0</v>
      </c>
      <c r="I869" s="6" t="n">
        <v>3.28</v>
      </c>
      <c r="J869" s="6" t="n">
        <v>3.28</v>
      </c>
    </row>
    <row collapsed="false" customFormat="false" customHeight="false" hidden="false" ht="12.1" outlineLevel="0" r="870">
      <c r="A870" s="35" t="n">
        <v>46354</v>
      </c>
      <c r="B870" s="16" t="s">
        <v>1375</v>
      </c>
      <c r="C870" s="16" t="s">
        <v>234</v>
      </c>
      <c r="D870" s="16" t="s">
        <v>235</v>
      </c>
      <c r="E870" s="6" t="n">
        <v>1000</v>
      </c>
      <c r="F870" s="7" t="n">
        <v>1</v>
      </c>
      <c r="G870" s="6" t="n">
        <v>19.11</v>
      </c>
      <c r="H870" s="6" t="n">
        <v>2</v>
      </c>
      <c r="I870" s="6" t="n">
        <v>19.11</v>
      </c>
      <c r="J870" s="6" t="n">
        <v>17.11</v>
      </c>
    </row>
    <row collapsed="false" customFormat="false" customHeight="false" hidden="false" ht="12.1" outlineLevel="0" r="871">
      <c r="A871" s="35" t="n">
        <v>46355</v>
      </c>
      <c r="B871" s="16" t="s">
        <v>1375</v>
      </c>
      <c r="C871" s="16" t="s">
        <v>314</v>
      </c>
      <c r="D871" s="16" t="s">
        <v>315</v>
      </c>
      <c r="E871" s="6" t="n">
        <v>1000</v>
      </c>
      <c r="F871" s="7" t="n">
        <v>1</v>
      </c>
      <c r="G871" s="6" t="n">
        <v>25.68</v>
      </c>
      <c r="H871" s="6" t="n">
        <v>3</v>
      </c>
      <c r="I871" s="6" t="n">
        <v>25.68</v>
      </c>
      <c r="J871" s="6" t="n">
        <v>22.68</v>
      </c>
    </row>
    <row collapsed="false" customFormat="false" customHeight="false" hidden="false" ht="12.1" outlineLevel="0" r="872">
      <c r="A872" s="35" t="n">
        <v>46356</v>
      </c>
      <c r="B872" s="16" t="s">
        <v>1375</v>
      </c>
      <c r="C872" s="16" t="s">
        <v>266</v>
      </c>
      <c r="D872" s="16" t="s">
        <v>267</v>
      </c>
      <c r="E872" s="6" t="n">
        <v>1000</v>
      </c>
      <c r="F872" s="7" t="n">
        <v>1</v>
      </c>
      <c r="G872" s="6" t="n">
        <v>29.17</v>
      </c>
      <c r="H872" s="6" t="n">
        <v>4</v>
      </c>
      <c r="I872" s="6" t="n">
        <v>29.17</v>
      </c>
      <c r="J872" s="6" t="n">
        <v>25.17</v>
      </c>
    </row>
    <row collapsed="false" customFormat="false" customHeight="false" hidden="false" ht="12.1" outlineLevel="0" r="873">
      <c r="A873" s="35" t="n">
        <v>46356</v>
      </c>
      <c r="B873" s="16" t="s">
        <v>1375</v>
      </c>
      <c r="C873" s="16" t="s">
        <v>211</v>
      </c>
      <c r="D873" s="16" t="s">
        <v>212</v>
      </c>
      <c r="E873" s="6" t="n">
        <v>1000</v>
      </c>
      <c r="F873" s="7" t="n">
        <v>2</v>
      </c>
      <c r="G873" s="6" t="n">
        <v>56.1</v>
      </c>
      <c r="H873" s="6" t="n">
        <v>15</v>
      </c>
      <c r="I873" s="6" t="n">
        <v>112.2</v>
      </c>
      <c r="J873" s="6" t="n">
        <v>97.2</v>
      </c>
    </row>
    <row collapsed="false" customFormat="false" customHeight="false" hidden="false" ht="12.1" outlineLevel="0" r="874">
      <c r="A874" s="35" t="n">
        <v>46357</v>
      </c>
      <c r="B874" s="16" t="s">
        <v>1375</v>
      </c>
      <c r="C874" s="16" t="s">
        <v>91</v>
      </c>
      <c r="D874" s="16" t="s">
        <v>92</v>
      </c>
      <c r="E874" s="6" t="n">
        <v>1000</v>
      </c>
      <c r="F874" s="7" t="n">
        <v>19</v>
      </c>
      <c r="G874" s="6" t="n">
        <v>48.87</v>
      </c>
      <c r="H874" s="6" t="n">
        <v>121</v>
      </c>
      <c r="I874" s="6" t="n">
        <v>928.53</v>
      </c>
      <c r="J874" s="6" t="n">
        <v>807.53</v>
      </c>
    </row>
    <row collapsed="false" customFormat="false" customHeight="false" hidden="false" ht="12.1" outlineLevel="0" r="875">
      <c r="A875" s="35" t="n">
        <v>46357</v>
      </c>
      <c r="B875" s="16" t="s">
        <v>1375</v>
      </c>
      <c r="C875" s="16" t="s">
        <v>100</v>
      </c>
      <c r="D875" s="16" t="s">
        <v>101</v>
      </c>
      <c r="E875" s="6" t="n">
        <v>1000</v>
      </c>
      <c r="F875" s="7" t="n">
        <v>14</v>
      </c>
      <c r="G875" s="6" t="n">
        <v>61.08</v>
      </c>
      <c r="H875" s="6" t="n">
        <v>111</v>
      </c>
      <c r="I875" s="6" t="n">
        <v>855.12</v>
      </c>
      <c r="J875" s="6" t="n">
        <v>744.12</v>
      </c>
    </row>
    <row collapsed="false" customFormat="false" customHeight="false" hidden="false" ht="12.1" outlineLevel="0" r="876">
      <c r="A876" s="35" t="n">
        <v>46357</v>
      </c>
      <c r="B876" s="16" t="s">
        <v>1375</v>
      </c>
      <c r="C876" s="16" t="s">
        <v>308</v>
      </c>
      <c r="D876" s="16" t="s">
        <v>309</v>
      </c>
      <c r="E876" s="6" t="n">
        <v>1000</v>
      </c>
      <c r="F876" s="7" t="n">
        <v>1</v>
      </c>
      <c r="G876" s="6" t="n">
        <v>56.84</v>
      </c>
      <c r="H876" s="6" t="n">
        <v>7</v>
      </c>
      <c r="I876" s="6" t="n">
        <v>56.84</v>
      </c>
      <c r="J876" s="6" t="n">
        <v>49.84</v>
      </c>
    </row>
    <row collapsed="false" customFormat="false" customHeight="false" hidden="false" ht="12.1" outlineLevel="0" r="877">
      <c r="A877" s="35" t="n">
        <v>46357</v>
      </c>
      <c r="B877" s="16" t="s">
        <v>1375</v>
      </c>
      <c r="C877" s="16" t="s">
        <v>329</v>
      </c>
      <c r="D877" s="16" t="s">
        <v>330</v>
      </c>
      <c r="E877" s="6" t="n">
        <v>1000</v>
      </c>
      <c r="F877" s="7" t="n">
        <v>1</v>
      </c>
      <c r="G877" s="6" t="n">
        <v>19.87</v>
      </c>
      <c r="H877" s="6" t="n">
        <v>3</v>
      </c>
      <c r="I877" s="6" t="n">
        <v>19.87</v>
      </c>
      <c r="J877" s="6" t="n">
        <v>16.87</v>
      </c>
    </row>
    <row collapsed="false" customFormat="false" customHeight="false" hidden="false" ht="12.1" outlineLevel="0" r="878">
      <c r="A878" s="35" t="n">
        <v>46357</v>
      </c>
      <c r="B878" s="16" t="s">
        <v>1375</v>
      </c>
      <c r="C878" s="16" t="s">
        <v>320</v>
      </c>
      <c r="D878" s="16" t="s">
        <v>321</v>
      </c>
      <c r="E878" s="6" t="n">
        <v>1000</v>
      </c>
      <c r="F878" s="7" t="n">
        <v>1</v>
      </c>
      <c r="G878" s="6" t="n">
        <v>19.55</v>
      </c>
      <c r="H878" s="6" t="n">
        <v>3</v>
      </c>
      <c r="I878" s="6" t="n">
        <v>19.55</v>
      </c>
      <c r="J878" s="6" t="n">
        <v>16.55</v>
      </c>
    </row>
    <row collapsed="false" customFormat="false" customHeight="false" hidden="false" ht="12.1" outlineLevel="0" r="879">
      <c r="A879" s="35" t="n">
        <v>46357</v>
      </c>
      <c r="B879" s="16" t="s">
        <v>1375</v>
      </c>
      <c r="C879" s="16" t="s">
        <v>94</v>
      </c>
      <c r="D879" s="16" t="s">
        <v>95</v>
      </c>
      <c r="E879" s="6" t="n">
        <v>1000</v>
      </c>
      <c r="F879" s="7" t="n">
        <v>23</v>
      </c>
      <c r="G879" s="6" t="n">
        <v>35.4</v>
      </c>
      <c r="H879" s="6" t="n">
        <v>106</v>
      </c>
      <c r="I879" s="6" t="n">
        <v>814.2</v>
      </c>
      <c r="J879" s="6" t="n">
        <v>708.2</v>
      </c>
    </row>
    <row collapsed="false" customFormat="false" customHeight="false" hidden="false" ht="12.1" outlineLevel="0" r="880">
      <c r="A880" s="35" t="n">
        <v>46358</v>
      </c>
      <c r="B880" s="16" t="s">
        <v>1375</v>
      </c>
      <c r="C880" s="16" t="s">
        <v>281</v>
      </c>
      <c r="D880" s="16" t="s">
        <v>282</v>
      </c>
      <c r="E880" s="6" t="n">
        <v>1000</v>
      </c>
      <c r="F880" s="7" t="n">
        <v>1</v>
      </c>
      <c r="G880" s="6" t="n">
        <v>35.53</v>
      </c>
      <c r="H880" s="6" t="n">
        <v>5</v>
      </c>
      <c r="I880" s="6" t="n">
        <v>35.53</v>
      </c>
      <c r="J880" s="6" t="n">
        <v>30.53</v>
      </c>
    </row>
    <row collapsed="false" customFormat="false" customHeight="false" hidden="false" ht="12.1" outlineLevel="0" r="881">
      <c r="A881" s="35" t="n">
        <v>46362</v>
      </c>
      <c r="B881" s="16" t="s">
        <v>1375</v>
      </c>
      <c r="C881" s="16" t="s">
        <v>254</v>
      </c>
      <c r="D881" s="16" t="s">
        <v>255</v>
      </c>
      <c r="E881" s="6" t="n">
        <v>1000</v>
      </c>
      <c r="F881" s="7" t="n">
        <v>1</v>
      </c>
      <c r="G881" s="6" t="n">
        <v>11.38</v>
      </c>
      <c r="H881" s="6" t="n">
        <v>1</v>
      </c>
      <c r="I881" s="6" t="n">
        <v>11.38</v>
      </c>
      <c r="J881" s="6" t="n">
        <v>10.38</v>
      </c>
    </row>
    <row collapsed="false" customFormat="false" customHeight="false" hidden="false" ht="12.1" outlineLevel="0" r="882">
      <c r="A882" s="35" t="n">
        <v>46363</v>
      </c>
      <c r="B882" s="16" t="s">
        <v>1375</v>
      </c>
      <c r="C882" s="16" t="s">
        <v>278</v>
      </c>
      <c r="D882" s="16" t="s">
        <v>279</v>
      </c>
      <c r="E882" s="6" t="n">
        <v>1000</v>
      </c>
      <c r="F882" s="7" t="n">
        <v>1</v>
      </c>
      <c r="G882" s="6" t="n">
        <v>14.51</v>
      </c>
      <c r="H882" s="6" t="n">
        <v>2</v>
      </c>
      <c r="I882" s="6" t="n">
        <v>14.51</v>
      </c>
      <c r="J882" s="6" t="n">
        <v>12.51</v>
      </c>
    </row>
    <row collapsed="false" customFormat="false" customHeight="false" hidden="false" ht="12.1" outlineLevel="0" r="883">
      <c r="A883" s="35" t="n">
        <v>46366</v>
      </c>
      <c r="B883" s="16" t="s">
        <v>1375</v>
      </c>
      <c r="C883" s="16" t="s">
        <v>229</v>
      </c>
      <c r="D883" s="16" t="s">
        <v>230</v>
      </c>
      <c r="E883" s="6" t="n">
        <v>1000</v>
      </c>
      <c r="F883" s="7" t="n">
        <v>2</v>
      </c>
      <c r="G883" s="6" t="n">
        <v>17.83</v>
      </c>
      <c r="H883" s="6" t="n">
        <v>5</v>
      </c>
      <c r="I883" s="6" t="n">
        <v>35.66</v>
      </c>
      <c r="J883" s="6" t="n">
        <v>30.66</v>
      </c>
    </row>
    <row collapsed="false" customFormat="false" customHeight="false" hidden="false" ht="12.1" outlineLevel="0" r="884">
      <c r="A884" s="35" t="n">
        <v>46368</v>
      </c>
      <c r="B884" s="16" t="s">
        <v>1375</v>
      </c>
      <c r="C884" s="16" t="s">
        <v>246</v>
      </c>
      <c r="D884" s="16" t="s">
        <v>247</v>
      </c>
      <c r="E884" s="6" t="n">
        <v>1000</v>
      </c>
      <c r="F884" s="7" t="n">
        <v>1</v>
      </c>
      <c r="G884" s="6" t="n">
        <v>20.96</v>
      </c>
      <c r="H884" s="6" t="n">
        <v>3</v>
      </c>
      <c r="I884" s="6" t="n">
        <v>20.96</v>
      </c>
      <c r="J884" s="6" t="n">
        <v>17.96</v>
      </c>
    </row>
    <row collapsed="false" customFormat="false" customHeight="false" hidden="false" ht="12.1" outlineLevel="0" r="885">
      <c r="A885" s="35" t="n">
        <v>46369</v>
      </c>
      <c r="B885" s="16" t="s">
        <v>1375</v>
      </c>
      <c r="C885" s="16" t="s">
        <v>323</v>
      </c>
      <c r="D885" s="16" t="s">
        <v>324</v>
      </c>
      <c r="E885" s="6" t="n">
        <v>1000</v>
      </c>
      <c r="F885" s="7" t="n">
        <v>1</v>
      </c>
      <c r="G885" s="6" t="n">
        <v>5.59</v>
      </c>
      <c r="H885" s="6" t="n">
        <v>1</v>
      </c>
      <c r="I885" s="6" t="n">
        <v>5.59</v>
      </c>
      <c r="J885" s="6" t="n">
        <v>4.59</v>
      </c>
    </row>
    <row collapsed="false" customFormat="false" customHeight="false" hidden="false" ht="12.1" outlineLevel="0" r="886">
      <c r="A886" s="35" t="n">
        <v>46371</v>
      </c>
      <c r="B886" s="16" t="s">
        <v>1375</v>
      </c>
      <c r="C886" s="16" t="s">
        <v>88</v>
      </c>
      <c r="D886" s="16" t="s">
        <v>89</v>
      </c>
      <c r="E886" s="6" t="n">
        <v>1000</v>
      </c>
      <c r="F886" s="7" t="n">
        <v>14</v>
      </c>
      <c r="G886" s="6" t="n">
        <v>95.44</v>
      </c>
      <c r="H886" s="6" t="n">
        <v>174</v>
      </c>
      <c r="I886" s="6" t="n">
        <v>1336.16</v>
      </c>
      <c r="J886" s="6" t="n">
        <v>1162.16</v>
      </c>
    </row>
    <row collapsed="false" customFormat="false" customHeight="false" hidden="false" ht="12.1" outlineLevel="0" r="887">
      <c r="A887" s="35" t="n">
        <v>46372</v>
      </c>
      <c r="B887" s="16" t="s">
        <v>1375</v>
      </c>
      <c r="C887" s="16" t="s">
        <v>190</v>
      </c>
      <c r="D887" s="16" t="s">
        <v>191</v>
      </c>
      <c r="E887" s="6" t="n">
        <v>1000</v>
      </c>
      <c r="F887" s="7" t="n">
        <v>2</v>
      </c>
      <c r="G887" s="6" t="n">
        <v>13.77</v>
      </c>
      <c r="H887" s="6" t="n">
        <v>4</v>
      </c>
      <c r="I887" s="6" t="n">
        <v>27.54</v>
      </c>
      <c r="J887" s="6" t="n">
        <v>23.54</v>
      </c>
    </row>
    <row collapsed="false" customFormat="false" customHeight="false" hidden="false" ht="12.1" outlineLevel="0" r="888">
      <c r="A888" s="35" t="n">
        <v>46372</v>
      </c>
      <c r="B888" s="16" t="s">
        <v>1375</v>
      </c>
      <c r="C888" s="16" t="s">
        <v>257</v>
      </c>
      <c r="D888" s="16" t="s">
        <v>258</v>
      </c>
      <c r="E888" s="6" t="n">
        <v>1000</v>
      </c>
      <c r="F888" s="7" t="n">
        <v>1</v>
      </c>
      <c r="G888" s="6" t="n">
        <v>14.48</v>
      </c>
      <c r="H888" s="6" t="n">
        <v>2</v>
      </c>
      <c r="I888" s="6" t="n">
        <v>14.48</v>
      </c>
      <c r="J888" s="6" t="n">
        <v>12.48</v>
      </c>
    </row>
    <row collapsed="false" customFormat="false" customHeight="false" hidden="false" ht="12.1" outlineLevel="0" r="889">
      <c r="A889" s="35" t="n">
        <v>46373</v>
      </c>
      <c r="B889" s="16" t="s">
        <v>1375</v>
      </c>
      <c r="C889" s="16" t="s">
        <v>263</v>
      </c>
      <c r="D889" s="16" t="s">
        <v>264</v>
      </c>
      <c r="E889" s="6" t="n">
        <v>1000</v>
      </c>
      <c r="F889" s="7" t="n">
        <v>1</v>
      </c>
      <c r="G889" s="6" t="n">
        <v>12.66</v>
      </c>
      <c r="H889" s="6" t="n">
        <v>2</v>
      </c>
      <c r="I889" s="6" t="n">
        <v>12.66</v>
      </c>
      <c r="J889" s="6" t="n">
        <v>10.66</v>
      </c>
    </row>
    <row collapsed="false" customFormat="false" customHeight="false" hidden="false" ht="12.1" outlineLevel="0" r="890">
      <c r="A890" s="35" t="n">
        <v>46374</v>
      </c>
      <c r="B890" s="16" t="s">
        <v>1375</v>
      </c>
      <c r="C890" s="16" t="s">
        <v>243</v>
      </c>
      <c r="D890" s="16" t="s">
        <v>244</v>
      </c>
      <c r="E890" s="6" t="n">
        <v>1000</v>
      </c>
      <c r="F890" s="7" t="n">
        <v>1</v>
      </c>
      <c r="G890" s="6" t="n">
        <v>14.79</v>
      </c>
      <c r="H890" s="6" t="n">
        <v>2</v>
      </c>
      <c r="I890" s="6" t="n">
        <v>14.79</v>
      </c>
      <c r="J890" s="6" t="n">
        <v>12.79</v>
      </c>
    </row>
    <row collapsed="false" customFormat="false" customHeight="false" hidden="false" ht="12.1" outlineLevel="0" r="891">
      <c r="A891" s="35" t="n">
        <v>46375</v>
      </c>
      <c r="B891" s="16" t="s">
        <v>1375</v>
      </c>
      <c r="C891" s="16" t="s">
        <v>249</v>
      </c>
      <c r="D891" s="16" t="s">
        <v>250</v>
      </c>
      <c r="E891" s="6" t="n">
        <v>1000</v>
      </c>
      <c r="F891" s="7" t="n">
        <v>1</v>
      </c>
      <c r="G891" s="6" t="n">
        <v>11.42</v>
      </c>
      <c r="H891" s="6" t="n">
        <v>1</v>
      </c>
      <c r="I891" s="6" t="n">
        <v>11.42</v>
      </c>
      <c r="J891" s="6" t="n">
        <v>10.42</v>
      </c>
    </row>
    <row collapsed="false" customFormat="false" customHeight="false" hidden="false" ht="12.1" outlineLevel="0" r="892">
      <c r="A892" s="35" t="n">
        <v>46375</v>
      </c>
      <c r="B892" s="16" t="s">
        <v>1375</v>
      </c>
      <c r="C892" s="16" t="s">
        <v>252</v>
      </c>
      <c r="D892" s="16" t="s">
        <v>253</v>
      </c>
      <c r="E892" s="6" t="n">
        <v>1000</v>
      </c>
      <c r="F892" s="7" t="n">
        <v>1</v>
      </c>
      <c r="G892" s="6" t="n">
        <v>12.17</v>
      </c>
      <c r="H892" s="6" t="n">
        <v>2</v>
      </c>
      <c r="I892" s="6" t="n">
        <v>12.17</v>
      </c>
      <c r="J892" s="6" t="n">
        <v>10.17</v>
      </c>
    </row>
    <row collapsed="false" customFormat="false" customHeight="false" hidden="false" ht="12.1" outlineLevel="0" r="893">
      <c r="A893" s="35" t="n">
        <v>46376</v>
      </c>
      <c r="B893" s="16" t="s">
        <v>1375</v>
      </c>
      <c r="C893" s="16" t="s">
        <v>184</v>
      </c>
      <c r="D893" s="16" t="s">
        <v>185</v>
      </c>
      <c r="E893" s="6" t="n">
        <v>1000</v>
      </c>
      <c r="F893" s="7" t="n">
        <v>2</v>
      </c>
      <c r="G893" s="6" t="n">
        <v>13.68</v>
      </c>
      <c r="H893" s="6" t="n">
        <v>4</v>
      </c>
      <c r="I893" s="6" t="n">
        <v>27.36</v>
      </c>
      <c r="J893" s="6" t="n">
        <v>23.36</v>
      </c>
    </row>
    <row collapsed="false" customFormat="false" customHeight="false" hidden="false" ht="12.1" outlineLevel="0" r="894">
      <c r="A894" s="35" t="n">
        <v>46378</v>
      </c>
      <c r="B894" s="16" t="s">
        <v>1375</v>
      </c>
      <c r="C894" s="16" t="s">
        <v>148</v>
      </c>
      <c r="D894" s="16" t="s">
        <v>149</v>
      </c>
      <c r="E894" s="6" t="n">
        <v>1000</v>
      </c>
      <c r="F894" s="7" t="n">
        <v>6</v>
      </c>
      <c r="G894" s="6" t="n">
        <v>54.85</v>
      </c>
      <c r="H894" s="6" t="n">
        <v>43</v>
      </c>
      <c r="I894" s="6" t="n">
        <v>329.1</v>
      </c>
      <c r="J894" s="6" t="n">
        <v>286.1</v>
      </c>
    </row>
    <row collapsed="false" customFormat="false" customHeight="false" hidden="false" ht="12.1" outlineLevel="0" r="895">
      <c r="A895" s="35" t="n">
        <v>46378</v>
      </c>
      <c r="B895" s="16" t="s">
        <v>1375</v>
      </c>
      <c r="C895" s="16" t="s">
        <v>145</v>
      </c>
      <c r="D895" s="16" t="s">
        <v>146</v>
      </c>
      <c r="E895" s="6" t="n">
        <v>1000</v>
      </c>
      <c r="F895" s="7" t="n">
        <v>6</v>
      </c>
      <c r="G895" s="6" t="n">
        <v>59.84</v>
      </c>
      <c r="H895" s="6" t="n">
        <v>47</v>
      </c>
      <c r="I895" s="6" t="n">
        <v>359.04</v>
      </c>
      <c r="J895" s="6" t="n">
        <v>312.04</v>
      </c>
    </row>
    <row collapsed="false" customFormat="false" customHeight="false" hidden="false" ht="12.1" outlineLevel="0" r="896">
      <c r="A896" s="35" t="n">
        <v>46379</v>
      </c>
      <c r="B896" s="16" t="s">
        <v>1375</v>
      </c>
      <c r="C896" s="16" t="s">
        <v>193</v>
      </c>
      <c r="D896" s="16" t="s">
        <v>194</v>
      </c>
      <c r="E896" s="6" t="n">
        <v>1000</v>
      </c>
      <c r="F896" s="7" t="n">
        <v>2</v>
      </c>
      <c r="G896" s="6" t="n">
        <v>12.95</v>
      </c>
      <c r="H896" s="6" t="n">
        <v>3</v>
      </c>
      <c r="I896" s="6" t="n">
        <v>25.9</v>
      </c>
      <c r="J896" s="6" t="n">
        <v>22.9</v>
      </c>
    </row>
    <row collapsed="false" customFormat="false" customHeight="false" hidden="false" ht="12.1" outlineLevel="0" r="897">
      <c r="A897" s="35" t="n">
        <v>46380</v>
      </c>
      <c r="B897" s="16" t="s">
        <v>1375</v>
      </c>
      <c r="C897" s="16" t="s">
        <v>296</v>
      </c>
      <c r="D897" s="16" t="s">
        <v>297</v>
      </c>
      <c r="E897" s="6" t="n">
        <v>500</v>
      </c>
      <c r="F897" s="7" t="n">
        <v>2</v>
      </c>
      <c r="G897" s="6" t="n">
        <v>9.87</v>
      </c>
      <c r="H897" s="6" t="n">
        <v>3</v>
      </c>
      <c r="I897" s="6" t="n">
        <v>19.74</v>
      </c>
      <c r="J897" s="6" t="n">
        <v>16.74</v>
      </c>
    </row>
    <row collapsed="false" customFormat="false" customHeight="false" hidden="false" ht="12.1" outlineLevel="0" r="898">
      <c r="A898" s="35" t="n">
        <v>46381</v>
      </c>
      <c r="B898" s="16" t="s">
        <v>1375</v>
      </c>
      <c r="C898" s="16" t="s">
        <v>317</v>
      </c>
      <c r="D898" s="16" t="s">
        <v>318</v>
      </c>
      <c r="E898" s="6" t="n">
        <v>1000</v>
      </c>
      <c r="F898" s="7" t="n">
        <v>1</v>
      </c>
      <c r="G898" s="6" t="n">
        <v>14.28</v>
      </c>
      <c r="H898" s="6" t="n">
        <v>2</v>
      </c>
      <c r="I898" s="6" t="n">
        <v>14.28</v>
      </c>
      <c r="J898" s="6" t="n">
        <v>12.28</v>
      </c>
    </row>
    <row collapsed="false" customFormat="false" customHeight="false" hidden="false" ht="12.1" outlineLevel="0" r="899">
      <c r="A899" s="35" t="n">
        <v>46381</v>
      </c>
      <c r="B899" s="16" t="s">
        <v>1375</v>
      </c>
      <c r="C899" s="16" t="s">
        <v>181</v>
      </c>
      <c r="D899" s="16" t="s">
        <v>182</v>
      </c>
      <c r="E899" s="6" t="n">
        <v>1000</v>
      </c>
      <c r="F899" s="7" t="n">
        <v>2</v>
      </c>
      <c r="G899" s="6" t="n">
        <v>13.15</v>
      </c>
      <c r="H899" s="6" t="n">
        <v>3</v>
      </c>
      <c r="I899" s="6" t="n">
        <v>26.3</v>
      </c>
      <c r="J899" s="6" t="n">
        <v>23.3</v>
      </c>
    </row>
    <row collapsed="false" customFormat="false" customHeight="false" hidden="false" ht="12.1" outlineLevel="0" r="900">
      <c r="A900" s="35" t="n">
        <v>46383</v>
      </c>
      <c r="B900" s="16" t="s">
        <v>1375</v>
      </c>
      <c r="C900" s="16" t="s">
        <v>232</v>
      </c>
      <c r="D900" s="16" t="s">
        <v>233</v>
      </c>
      <c r="E900" s="6" t="n">
        <v>1000</v>
      </c>
      <c r="F900" s="7" t="n">
        <v>2</v>
      </c>
      <c r="G900" s="6" t="n">
        <v>1.64</v>
      </c>
      <c r="H900" s="6" t="n">
        <v>0</v>
      </c>
      <c r="I900" s="6" t="n">
        <v>3.28</v>
      </c>
      <c r="J900" s="6" t="n">
        <v>3.28</v>
      </c>
    </row>
    <row collapsed="false" customFormat="false" customHeight="false" hidden="false" ht="12.1" outlineLevel="0" r="901">
      <c r="A901" s="35" t="n">
        <v>46384</v>
      </c>
      <c r="B901" s="16" t="s">
        <v>1375</v>
      </c>
      <c r="C901" s="16" t="s">
        <v>234</v>
      </c>
      <c r="D901" s="16" t="s">
        <v>235</v>
      </c>
      <c r="E901" s="6" t="n">
        <v>1000</v>
      </c>
      <c r="F901" s="7" t="n">
        <v>1</v>
      </c>
      <c r="G901" s="6" t="n">
        <v>19.11</v>
      </c>
      <c r="H901" s="6" t="n">
        <v>2</v>
      </c>
      <c r="I901" s="6" t="n">
        <v>19.11</v>
      </c>
      <c r="J901" s="6" t="n">
        <v>17.11</v>
      </c>
    </row>
    <row collapsed="false" customFormat="false" customHeight="false" hidden="false" ht="12.1" outlineLevel="0" r="902">
      <c r="A902" s="35" t="n">
        <v>46390</v>
      </c>
      <c r="B902" s="16" t="s">
        <v>1375</v>
      </c>
      <c r="C902" s="16" t="s">
        <v>326</v>
      </c>
      <c r="D902" s="16" t="s">
        <v>327</v>
      </c>
      <c r="E902" s="6" t="n">
        <v>1000</v>
      </c>
      <c r="F902" s="7" t="n">
        <v>1</v>
      </c>
      <c r="G902" s="6" t="n">
        <v>44.88</v>
      </c>
      <c r="H902" s="6" t="n">
        <v>6</v>
      </c>
      <c r="I902" s="6" t="n">
        <v>44.88</v>
      </c>
      <c r="J902" s="6" t="n">
        <v>38.88</v>
      </c>
    </row>
    <row collapsed="false" customFormat="false" customHeight="false" hidden="false" ht="12.1" outlineLevel="0" r="903">
      <c r="A903" s="35" t="n">
        <v>46392</v>
      </c>
      <c r="B903" s="16" t="s">
        <v>1375</v>
      </c>
      <c r="C903" s="16" t="s">
        <v>254</v>
      </c>
      <c r="D903" s="16" t="s">
        <v>255</v>
      </c>
      <c r="E903" s="6" t="n">
        <v>1000</v>
      </c>
      <c r="F903" s="7" t="n">
        <v>1</v>
      </c>
      <c r="G903" s="6" t="n">
        <v>11.38</v>
      </c>
      <c r="H903" s="6" t="n">
        <v>1</v>
      </c>
      <c r="I903" s="6" t="n">
        <v>11.38</v>
      </c>
      <c r="J903" s="6" t="n">
        <v>10.38</v>
      </c>
    </row>
    <row collapsed="false" customFormat="false" customHeight="false" hidden="false" ht="12.1" outlineLevel="0" r="904">
      <c r="A904" s="35" t="n">
        <v>46394</v>
      </c>
      <c r="B904" s="16" t="s">
        <v>1375</v>
      </c>
      <c r="C904" s="16" t="s">
        <v>278</v>
      </c>
      <c r="D904" s="16" t="s">
        <v>279</v>
      </c>
      <c r="E904" s="6" t="n">
        <v>1000</v>
      </c>
      <c r="F904" s="7" t="n">
        <v>1</v>
      </c>
      <c r="G904" s="6" t="n">
        <v>14.51</v>
      </c>
      <c r="H904" s="6" t="n">
        <v>2</v>
      </c>
      <c r="I904" s="6" t="n">
        <v>14.51</v>
      </c>
      <c r="J904" s="6" t="n">
        <v>12.51</v>
      </c>
    </row>
    <row collapsed="false" customFormat="false" customHeight="false" hidden="false" ht="12.1" outlineLevel="0" r="905">
      <c r="A905" s="35" t="n">
        <v>46398</v>
      </c>
      <c r="B905" s="16" t="s">
        <v>1375</v>
      </c>
      <c r="C905" s="16" t="s">
        <v>217</v>
      </c>
      <c r="D905" s="16" t="s">
        <v>218</v>
      </c>
      <c r="E905" s="6" t="n">
        <v>1000</v>
      </c>
      <c r="F905" s="7" t="n">
        <v>2</v>
      </c>
      <c r="G905" s="6" t="n">
        <v>24.93</v>
      </c>
      <c r="H905" s="6" t="n">
        <v>6</v>
      </c>
      <c r="I905" s="6" t="n">
        <v>49.86</v>
      </c>
      <c r="J905" s="6" t="n">
        <v>43.86</v>
      </c>
    </row>
    <row collapsed="false" customFormat="false" customHeight="false" hidden="false" ht="12.1" outlineLevel="0" r="906">
      <c r="A906" s="35" t="n">
        <v>46398</v>
      </c>
      <c r="B906" s="16" t="s">
        <v>1375</v>
      </c>
      <c r="C906" s="16" t="s">
        <v>246</v>
      </c>
      <c r="D906" s="16" t="s">
        <v>247</v>
      </c>
      <c r="E906" s="6" t="n">
        <v>1000</v>
      </c>
      <c r="F906" s="7" t="n">
        <v>1</v>
      </c>
      <c r="G906" s="6" t="n">
        <v>20.96</v>
      </c>
      <c r="H906" s="6" t="n">
        <v>3</v>
      </c>
      <c r="I906" s="6" t="n">
        <v>20.96</v>
      </c>
      <c r="J906" s="6" t="n">
        <v>17.96</v>
      </c>
    </row>
    <row collapsed="false" customFormat="false" customHeight="false" hidden="false" ht="12.1" outlineLevel="0" r="907">
      <c r="A907" s="35" t="n">
        <v>46399</v>
      </c>
      <c r="B907" s="16" t="s">
        <v>1375</v>
      </c>
      <c r="C907" s="16" t="s">
        <v>305</v>
      </c>
      <c r="D907" s="16" t="s">
        <v>306</v>
      </c>
      <c r="E907" s="6" t="n">
        <v>1000</v>
      </c>
      <c r="F907" s="7" t="n">
        <v>1</v>
      </c>
      <c r="G907" s="6" t="n">
        <v>26.18</v>
      </c>
      <c r="H907" s="6" t="n">
        <v>3</v>
      </c>
      <c r="I907" s="6" t="n">
        <v>26.18</v>
      </c>
      <c r="J907" s="6" t="n">
        <v>23.18</v>
      </c>
    </row>
    <row collapsed="false" customFormat="false" customHeight="false" hidden="false" ht="12.1" outlineLevel="0" r="908">
      <c r="A908" s="35" t="n">
        <v>46399</v>
      </c>
      <c r="B908" s="16" t="s">
        <v>1375</v>
      </c>
      <c r="C908" s="16" t="s">
        <v>323</v>
      </c>
      <c r="D908" s="16" t="s">
        <v>324</v>
      </c>
      <c r="E908" s="6" t="n">
        <v>1000</v>
      </c>
      <c r="F908" s="7" t="n">
        <v>1</v>
      </c>
      <c r="G908" s="6" t="n">
        <v>2.79</v>
      </c>
      <c r="H908" s="6" t="n">
        <v>0</v>
      </c>
      <c r="I908" s="6" t="n">
        <v>2.79</v>
      </c>
      <c r="J908" s="6" t="n">
        <v>2.79</v>
      </c>
    </row>
    <row collapsed="false" customFormat="false" customHeight="false" hidden="false" ht="12.1" outlineLevel="0" r="909">
      <c r="A909" s="35" t="n">
        <v>46400</v>
      </c>
      <c r="B909" s="16" t="s">
        <v>1375</v>
      </c>
      <c r="C909" s="16" t="s">
        <v>302</v>
      </c>
      <c r="D909" s="16" t="s">
        <v>303</v>
      </c>
      <c r="E909" s="6" t="n">
        <v>1000</v>
      </c>
      <c r="F909" s="7" t="n">
        <v>1</v>
      </c>
      <c r="G909" s="6" t="n">
        <v>50.86</v>
      </c>
      <c r="H909" s="6" t="n">
        <v>7</v>
      </c>
      <c r="I909" s="6" t="n">
        <v>50.86</v>
      </c>
      <c r="J909" s="6" t="n">
        <v>43.86</v>
      </c>
    </row>
    <row collapsed="false" customFormat="false" customHeight="false" hidden="false" ht="12.1" outlineLevel="0" r="910">
      <c r="A910" s="35" t="n">
        <v>46400</v>
      </c>
      <c r="B910" s="16" t="s">
        <v>1375</v>
      </c>
      <c r="C910" s="16" t="s">
        <v>178</v>
      </c>
      <c r="D910" s="16" t="s">
        <v>179</v>
      </c>
      <c r="E910" s="6" t="n">
        <v>1000</v>
      </c>
      <c r="F910" s="7" t="n">
        <v>2</v>
      </c>
      <c r="G910" s="6" t="n">
        <v>43.13</v>
      </c>
      <c r="H910" s="6" t="n">
        <v>11</v>
      </c>
      <c r="I910" s="6" t="n">
        <v>86.26</v>
      </c>
      <c r="J910" s="6" t="n">
        <v>75.26</v>
      </c>
    </row>
    <row collapsed="false" customFormat="false" customHeight="false" hidden="false" ht="12.1" outlineLevel="0" r="911">
      <c r="A911" s="35" t="n">
        <v>46402</v>
      </c>
      <c r="B911" s="16" t="s">
        <v>1375</v>
      </c>
      <c r="C911" s="16" t="s">
        <v>190</v>
      </c>
      <c r="D911" s="16" t="s">
        <v>191</v>
      </c>
      <c r="E911" s="6" t="n">
        <v>1000</v>
      </c>
      <c r="F911" s="7" t="n">
        <v>2</v>
      </c>
      <c r="G911" s="6" t="n">
        <v>13.77</v>
      </c>
      <c r="H911" s="6" t="n">
        <v>4</v>
      </c>
      <c r="I911" s="6" t="n">
        <v>27.54</v>
      </c>
      <c r="J911" s="6" t="n">
        <v>23.54</v>
      </c>
    </row>
    <row collapsed="false" customFormat="false" customHeight="false" hidden="false" ht="12.1" outlineLevel="0" r="912">
      <c r="A912" s="35" t="n">
        <v>46403</v>
      </c>
      <c r="B912" s="16" t="s">
        <v>1375</v>
      </c>
      <c r="C912" s="16" t="s">
        <v>263</v>
      </c>
      <c r="D912" s="16" t="s">
        <v>264</v>
      </c>
      <c r="E912" s="6" t="n">
        <v>1000</v>
      </c>
      <c r="F912" s="7" t="n">
        <v>1</v>
      </c>
      <c r="G912" s="6" t="n">
        <v>12.66</v>
      </c>
      <c r="H912" s="6" t="n">
        <v>2</v>
      </c>
      <c r="I912" s="6" t="n">
        <v>12.66</v>
      </c>
      <c r="J912" s="6" t="n">
        <v>10.66</v>
      </c>
    </row>
    <row collapsed="false" customFormat="false" customHeight="false" hidden="false" ht="12.1" outlineLevel="0" r="913">
      <c r="A913" s="35" t="n">
        <v>46403</v>
      </c>
      <c r="B913" s="16" t="s">
        <v>1375</v>
      </c>
      <c r="C913" s="16" t="s">
        <v>257</v>
      </c>
      <c r="D913" s="16" t="s">
        <v>258</v>
      </c>
      <c r="E913" s="6" t="n">
        <v>1000</v>
      </c>
      <c r="F913" s="7" t="n">
        <v>1</v>
      </c>
      <c r="G913" s="6" t="n">
        <v>14.48</v>
      </c>
      <c r="H913" s="6" t="n">
        <v>2</v>
      </c>
      <c r="I913" s="6" t="n">
        <v>14.48</v>
      </c>
      <c r="J913" s="6" t="n">
        <v>12.48</v>
      </c>
    </row>
    <row collapsed="false" customFormat="false" customHeight="false" hidden="false" ht="12.1" outlineLevel="0" r="914">
      <c r="A914" s="35" t="n">
        <v>46404</v>
      </c>
      <c r="B914" s="16" t="s">
        <v>1375</v>
      </c>
      <c r="C914" s="16" t="s">
        <v>243</v>
      </c>
      <c r="D914" s="16" t="s">
        <v>244</v>
      </c>
      <c r="E914" s="6" t="n">
        <v>1000</v>
      </c>
      <c r="F914" s="7" t="n">
        <v>1</v>
      </c>
      <c r="G914" s="6" t="n">
        <v>14.79</v>
      </c>
      <c r="H914" s="6" t="n">
        <v>2</v>
      </c>
      <c r="I914" s="6" t="n">
        <v>14.79</v>
      </c>
      <c r="J914" s="6" t="n">
        <v>12.79</v>
      </c>
    </row>
    <row collapsed="false" customFormat="false" customHeight="false" hidden="false" ht="12.1" outlineLevel="0" r="915">
      <c r="A915" s="35" t="n">
        <v>46404</v>
      </c>
      <c r="B915" s="16" t="s">
        <v>1375</v>
      </c>
      <c r="C915" s="16" t="s">
        <v>214</v>
      </c>
      <c r="D915" s="16" t="s">
        <v>215</v>
      </c>
      <c r="E915" s="6" t="n">
        <v>1000</v>
      </c>
      <c r="F915" s="7" t="n">
        <v>2</v>
      </c>
      <c r="G915" s="6" t="n">
        <v>54.35</v>
      </c>
      <c r="H915" s="6" t="n">
        <v>14</v>
      </c>
      <c r="I915" s="6" t="n">
        <v>108.7</v>
      </c>
      <c r="J915" s="6" t="n">
        <v>94.7</v>
      </c>
    </row>
    <row collapsed="false" customFormat="false" customHeight="false" hidden="false" ht="12.1" outlineLevel="0" r="916">
      <c r="A916" s="35" t="n">
        <v>46405</v>
      </c>
      <c r="B916" s="16" t="s">
        <v>1375</v>
      </c>
      <c r="C916" s="16" t="s">
        <v>252</v>
      </c>
      <c r="D916" s="16" t="s">
        <v>253</v>
      </c>
      <c r="E916" s="6" t="n">
        <v>1000</v>
      </c>
      <c r="F916" s="7" t="n">
        <v>1</v>
      </c>
      <c r="G916" s="6" t="n">
        <v>12.17</v>
      </c>
      <c r="H916" s="6" t="n">
        <v>2</v>
      </c>
      <c r="I916" s="6" t="n">
        <v>12.17</v>
      </c>
      <c r="J916" s="6" t="n">
        <v>10.17</v>
      </c>
    </row>
    <row collapsed="false" customFormat="false" customHeight="false" hidden="false" ht="12.1" outlineLevel="0" r="917">
      <c r="A917" s="35" t="n">
        <v>46405</v>
      </c>
      <c r="B917" s="16" t="s">
        <v>1375</v>
      </c>
      <c r="C917" s="16" t="s">
        <v>249</v>
      </c>
      <c r="D917" s="16" t="s">
        <v>250</v>
      </c>
      <c r="E917" s="6" t="n">
        <v>1000</v>
      </c>
      <c r="F917" s="7" t="n">
        <v>1</v>
      </c>
      <c r="G917" s="6" t="n">
        <v>11.42</v>
      </c>
      <c r="H917" s="6" t="n">
        <v>1</v>
      </c>
      <c r="I917" s="6" t="n">
        <v>11.42</v>
      </c>
      <c r="J917" s="6" t="n">
        <v>10.42</v>
      </c>
    </row>
    <row collapsed="false" customFormat="false" customHeight="false" hidden="false" ht="12.1" outlineLevel="0" r="918">
      <c r="A918" s="35" t="n">
        <v>46406</v>
      </c>
      <c r="B918" s="16" t="s">
        <v>1375</v>
      </c>
      <c r="C918" s="16" t="s">
        <v>184</v>
      </c>
      <c r="D918" s="16" t="s">
        <v>185</v>
      </c>
      <c r="E918" s="6" t="n">
        <v>1000</v>
      </c>
      <c r="F918" s="7" t="n">
        <v>2</v>
      </c>
      <c r="G918" s="6" t="n">
        <v>13.68</v>
      </c>
      <c r="H918" s="6" t="n">
        <v>4</v>
      </c>
      <c r="I918" s="6" t="n">
        <v>27.36</v>
      </c>
      <c r="J918" s="6" t="n">
        <v>23.36</v>
      </c>
    </row>
    <row collapsed="false" customFormat="false" customHeight="false" hidden="false" ht="12.1" outlineLevel="0" r="919">
      <c r="A919" s="35" t="n">
        <v>46406</v>
      </c>
      <c r="B919" s="16" t="s">
        <v>1375</v>
      </c>
      <c r="C919" s="16" t="s">
        <v>272</v>
      </c>
      <c r="D919" s="16" t="s">
        <v>273</v>
      </c>
      <c r="E919" s="6" t="n">
        <v>1000</v>
      </c>
      <c r="F919" s="7" t="n">
        <v>1</v>
      </c>
      <c r="G919" s="6" t="n">
        <v>44.13</v>
      </c>
      <c r="H919" s="6" t="n">
        <v>6</v>
      </c>
      <c r="I919" s="6" t="n">
        <v>44.13</v>
      </c>
      <c r="J919" s="6" t="n">
        <v>38.13</v>
      </c>
    </row>
    <row collapsed="false" customFormat="false" customHeight="false" hidden="false" ht="12.1" outlineLevel="0" r="920">
      <c r="A920" s="35" t="n">
        <v>46409</v>
      </c>
      <c r="B920" s="16" t="s">
        <v>1375</v>
      </c>
      <c r="C920" s="16" t="s">
        <v>193</v>
      </c>
      <c r="D920" s="16" t="s">
        <v>194</v>
      </c>
      <c r="E920" s="6" t="n">
        <v>1000</v>
      </c>
      <c r="F920" s="7" t="n">
        <v>2</v>
      </c>
      <c r="G920" s="6" t="n">
        <v>12.95</v>
      </c>
      <c r="H920" s="6" t="n">
        <v>3</v>
      </c>
      <c r="I920" s="6" t="n">
        <v>25.9</v>
      </c>
      <c r="J920" s="6" t="n">
        <v>22.9</v>
      </c>
    </row>
    <row collapsed="false" customFormat="false" customHeight="false" hidden="false" ht="12.1" outlineLevel="0" r="921">
      <c r="A921" s="35" t="n">
        <v>46411</v>
      </c>
      <c r="B921" s="16" t="s">
        <v>1375</v>
      </c>
      <c r="C921" s="16" t="s">
        <v>181</v>
      </c>
      <c r="D921" s="16" t="s">
        <v>182</v>
      </c>
      <c r="E921" s="6" t="n">
        <v>1000</v>
      </c>
      <c r="F921" s="7" t="n">
        <v>2</v>
      </c>
      <c r="G921" s="6" t="n">
        <v>13.15</v>
      </c>
      <c r="H921" s="6" t="n">
        <v>3</v>
      </c>
      <c r="I921" s="6" t="n">
        <v>26.3</v>
      </c>
      <c r="J921" s="6" t="n">
        <v>23.3</v>
      </c>
    </row>
    <row collapsed="false" customFormat="false" customHeight="false" hidden="false" ht="12.1" outlineLevel="0" r="922">
      <c r="A922" s="35" t="n">
        <v>46412</v>
      </c>
      <c r="B922" s="16" t="s">
        <v>1375</v>
      </c>
      <c r="C922" s="16" t="s">
        <v>290</v>
      </c>
      <c r="D922" s="16" t="s">
        <v>291</v>
      </c>
      <c r="E922" s="6" t="n">
        <v>1000</v>
      </c>
      <c r="F922" s="7" t="n">
        <v>1</v>
      </c>
      <c r="G922" s="6" t="n">
        <v>28.22</v>
      </c>
      <c r="H922" s="6" t="n">
        <v>4</v>
      </c>
      <c r="I922" s="6" t="n">
        <v>28.22</v>
      </c>
      <c r="J922" s="6" t="n">
        <v>24.22</v>
      </c>
    </row>
    <row collapsed="false" customFormat="false" customHeight="false" hidden="false" ht="12.1" outlineLevel="0" r="923">
      <c r="A923" s="35" t="n">
        <v>46412</v>
      </c>
      <c r="B923" s="16" t="s">
        <v>1375</v>
      </c>
      <c r="C923" s="16" t="s">
        <v>317</v>
      </c>
      <c r="D923" s="16" t="s">
        <v>318</v>
      </c>
      <c r="E923" s="6" t="n">
        <v>1000</v>
      </c>
      <c r="F923" s="7" t="n">
        <v>1</v>
      </c>
      <c r="G923" s="6" t="n">
        <v>14.28</v>
      </c>
      <c r="H923" s="6" t="n">
        <v>2</v>
      </c>
      <c r="I923" s="6" t="n">
        <v>14.28</v>
      </c>
      <c r="J923" s="6" t="n">
        <v>12.28</v>
      </c>
    </row>
    <row collapsed="false" customFormat="false" customHeight="false" hidden="false" ht="12.1" outlineLevel="0" r="924">
      <c r="A924" s="35" t="n">
        <v>46412</v>
      </c>
      <c r="B924" s="16" t="s">
        <v>1375</v>
      </c>
      <c r="C924" s="16" t="s">
        <v>226</v>
      </c>
      <c r="D924" s="16" t="s">
        <v>227</v>
      </c>
      <c r="E924" s="6" t="n">
        <v>875</v>
      </c>
      <c r="F924" s="7" t="n">
        <v>2</v>
      </c>
      <c r="G924" s="6" t="n">
        <v>14.58</v>
      </c>
      <c r="H924" s="6" t="n">
        <v>4</v>
      </c>
      <c r="I924" s="6" t="n">
        <v>29.16</v>
      </c>
      <c r="J924" s="6" t="n">
        <v>25.16</v>
      </c>
    </row>
    <row collapsed="false" customFormat="false" customHeight="false" hidden="false" ht="12.1" outlineLevel="0" r="925">
      <c r="A925" s="35" t="n">
        <v>46413</v>
      </c>
      <c r="B925" s="16" t="s">
        <v>1375</v>
      </c>
      <c r="C925" s="16" t="s">
        <v>232</v>
      </c>
      <c r="D925" s="16" t="s">
        <v>233</v>
      </c>
      <c r="E925" s="6" t="n">
        <v>1000</v>
      </c>
      <c r="F925" s="7" t="n">
        <v>2</v>
      </c>
      <c r="G925" s="6" t="n">
        <v>1.64</v>
      </c>
      <c r="H925" s="6" t="n">
        <v>0</v>
      </c>
      <c r="I925" s="6" t="n">
        <v>3.28</v>
      </c>
      <c r="J925" s="6" t="n">
        <v>3.28</v>
      </c>
    </row>
    <row collapsed="false" customFormat="false" customHeight="false" hidden="false" ht="12.1" outlineLevel="0" r="926">
      <c r="A926" s="35" t="n">
        <v>46413</v>
      </c>
      <c r="B926" s="16" t="s">
        <v>1375</v>
      </c>
      <c r="C926" s="16" t="s">
        <v>84</v>
      </c>
      <c r="D926" s="16" t="s">
        <v>86</v>
      </c>
      <c r="E926" s="6" t="n">
        <v>1000</v>
      </c>
      <c r="F926" s="7" t="n">
        <v>34</v>
      </c>
      <c r="G926" s="6" t="n">
        <v>30.42</v>
      </c>
      <c r="H926" s="6" t="n">
        <v>134</v>
      </c>
      <c r="I926" s="6" t="n">
        <v>1034.28</v>
      </c>
      <c r="J926" s="6" t="n">
        <v>900.28</v>
      </c>
    </row>
    <row collapsed="false" customFormat="false" customHeight="false" hidden="false" ht="12.1" outlineLevel="0" r="927">
      <c r="A927" s="35" t="n">
        <v>46413</v>
      </c>
      <c r="B927" s="16" t="s">
        <v>1375</v>
      </c>
      <c r="C927" s="16" t="s">
        <v>154</v>
      </c>
      <c r="D927" s="16" t="s">
        <v>155</v>
      </c>
      <c r="E927" s="6" t="n">
        <v>1000</v>
      </c>
      <c r="F927" s="7" t="n">
        <v>6</v>
      </c>
      <c r="G927" s="6" t="n">
        <v>34.41</v>
      </c>
      <c r="H927" s="6" t="n">
        <v>27</v>
      </c>
      <c r="I927" s="6" t="n">
        <v>206.46</v>
      </c>
      <c r="J927" s="6" t="n">
        <v>179.46</v>
      </c>
    </row>
    <row collapsed="false" customFormat="false" customHeight="false" hidden="false" ht="12.1" outlineLevel="0" r="928">
      <c r="A928" s="35" t="n">
        <v>46413</v>
      </c>
      <c r="B928" s="16" t="s">
        <v>1375</v>
      </c>
      <c r="C928" s="16" t="s">
        <v>293</v>
      </c>
      <c r="D928" s="16" t="s">
        <v>294</v>
      </c>
      <c r="E928" s="6" t="n">
        <v>1000</v>
      </c>
      <c r="F928" s="7" t="n">
        <v>1</v>
      </c>
      <c r="G928" s="6" t="n">
        <v>40.15</v>
      </c>
      <c r="H928" s="6" t="n">
        <v>5</v>
      </c>
      <c r="I928" s="6" t="n">
        <v>40.15</v>
      </c>
      <c r="J928" s="6" t="n">
        <v>35.15</v>
      </c>
    </row>
    <row collapsed="false" customFormat="false" customHeight="false" hidden="false" ht="12.1" outlineLevel="0" r="929">
      <c r="A929" s="35" t="n">
        <v>46414</v>
      </c>
      <c r="B929" s="16" t="s">
        <v>1375</v>
      </c>
      <c r="C929" s="16" t="s">
        <v>234</v>
      </c>
      <c r="D929" s="16" t="s">
        <v>235</v>
      </c>
      <c r="E929" s="6" t="n">
        <v>1000</v>
      </c>
      <c r="F929" s="7" t="n">
        <v>1</v>
      </c>
      <c r="G929" s="6" t="n">
        <v>19.11</v>
      </c>
      <c r="H929" s="6" t="n">
        <v>2</v>
      </c>
      <c r="I929" s="6" t="n">
        <v>19.11</v>
      </c>
      <c r="J929" s="6" t="n">
        <v>17.11</v>
      </c>
    </row>
    <row collapsed="false" customFormat="false" customHeight="false" hidden="false" ht="12.1" outlineLevel="0" r="930">
      <c r="A930" s="35" t="n">
        <v>46415</v>
      </c>
      <c r="B930" s="16" t="s">
        <v>1375</v>
      </c>
      <c r="C930" s="16" t="s">
        <v>151</v>
      </c>
      <c r="D930" s="16" t="s">
        <v>152</v>
      </c>
      <c r="E930" s="6" t="n">
        <v>1000</v>
      </c>
      <c r="F930" s="7" t="n">
        <v>5</v>
      </c>
      <c r="G930" s="6" t="n">
        <v>59.84</v>
      </c>
      <c r="H930" s="6" t="n">
        <v>39</v>
      </c>
      <c r="I930" s="6" t="n">
        <v>299.2</v>
      </c>
      <c r="J930" s="6" t="n">
        <v>260.2</v>
      </c>
    </row>
    <row collapsed="false" customFormat="false" customHeight="false" hidden="false" ht="12.1" outlineLevel="0" r="931">
      <c r="A931" s="35" t="n">
        <v>46415</v>
      </c>
      <c r="B931" s="16" t="s">
        <v>1375</v>
      </c>
      <c r="C931" s="16" t="s">
        <v>299</v>
      </c>
      <c r="D931" s="16" t="s">
        <v>300</v>
      </c>
      <c r="E931" s="6" t="n">
        <v>1000</v>
      </c>
      <c r="F931" s="7" t="n">
        <v>1</v>
      </c>
      <c r="G931" s="6" t="n">
        <v>23.86</v>
      </c>
      <c r="H931" s="6" t="n">
        <v>3</v>
      </c>
      <c r="I931" s="6" t="n">
        <v>23.86</v>
      </c>
      <c r="J931" s="6" t="n">
        <v>20.86</v>
      </c>
    </row>
    <row collapsed="false" customFormat="false" customHeight="false" hidden="false" ht="12.1" outlineLevel="0" r="932">
      <c r="A932" s="35" t="n">
        <v>46416</v>
      </c>
      <c r="B932" s="16" t="s">
        <v>1375</v>
      </c>
      <c r="C932" s="16" t="s">
        <v>311</v>
      </c>
      <c r="D932" s="16" t="s">
        <v>312</v>
      </c>
      <c r="E932" s="6" t="n">
        <v>1000</v>
      </c>
      <c r="F932" s="7" t="n">
        <v>1</v>
      </c>
      <c r="G932" s="6" t="n">
        <v>53.1</v>
      </c>
      <c r="H932" s="6" t="n">
        <v>7</v>
      </c>
      <c r="I932" s="6" t="n">
        <v>53.1</v>
      </c>
      <c r="J932" s="6" t="n">
        <v>46.1</v>
      </c>
    </row>
    <row collapsed="false" customFormat="false" customHeight="false" hidden="false" ht="12.1" outlineLevel="0" r="933">
      <c r="A933" s="35" t="n">
        <v>46420</v>
      </c>
      <c r="B933" s="16" t="s">
        <v>1375</v>
      </c>
      <c r="C933" s="16" t="s">
        <v>166</v>
      </c>
      <c r="D933" s="16" t="s">
        <v>167</v>
      </c>
      <c r="E933" s="6" t="n">
        <v>1694.77</v>
      </c>
      <c r="F933" s="7" t="n">
        <v>2</v>
      </c>
      <c r="G933" s="6" t="n">
        <v>21.21</v>
      </c>
      <c r="H933" s="6" t="n">
        <v>6</v>
      </c>
      <c r="I933" s="6" t="n">
        <v>42.42</v>
      </c>
      <c r="J933" s="6" t="n">
        <v>36.42</v>
      </c>
    </row>
    <row collapsed="false" customFormat="false" customHeight="false" hidden="false" ht="12.1" outlineLevel="0" r="934">
      <c r="A934" s="35" t="n">
        <v>46422</v>
      </c>
      <c r="B934" s="16" t="s">
        <v>1375</v>
      </c>
      <c r="C934" s="16" t="s">
        <v>254</v>
      </c>
      <c r="D934" s="16" t="s">
        <v>255</v>
      </c>
      <c r="E934" s="6" t="n">
        <v>1000</v>
      </c>
      <c r="F934" s="7" t="n">
        <v>1</v>
      </c>
      <c r="G934" s="6" t="n">
        <v>11.38</v>
      </c>
      <c r="H934" s="6" t="n">
        <v>1</v>
      </c>
      <c r="I934" s="6" t="n">
        <v>11.38</v>
      </c>
      <c r="J934" s="6" t="n">
        <v>10.38</v>
      </c>
    </row>
    <row collapsed="false" customFormat="false" customHeight="false" hidden="false" ht="12.1" outlineLevel="0" r="935">
      <c r="A935" s="35" t="n">
        <v>46425</v>
      </c>
      <c r="B935" s="16" t="s">
        <v>1375</v>
      </c>
      <c r="C935" s="16" t="s">
        <v>278</v>
      </c>
      <c r="D935" s="16" t="s">
        <v>279</v>
      </c>
      <c r="E935" s="6" t="n">
        <v>1000</v>
      </c>
      <c r="F935" s="7" t="n">
        <v>1</v>
      </c>
      <c r="G935" s="6" t="n">
        <v>14.51</v>
      </c>
      <c r="H935" s="6" t="n">
        <v>2</v>
      </c>
      <c r="I935" s="6" t="n">
        <v>14.51</v>
      </c>
      <c r="J935" s="6" t="n">
        <v>12.51</v>
      </c>
    </row>
    <row collapsed="false" customFormat="false" customHeight="false" hidden="false" ht="12.1" outlineLevel="0" r="936">
      <c r="A936" s="35" t="n">
        <v>46427</v>
      </c>
      <c r="B936" s="16" t="s">
        <v>1375</v>
      </c>
      <c r="C936" s="16" t="s">
        <v>112</v>
      </c>
      <c r="D936" s="16" t="s">
        <v>113</v>
      </c>
      <c r="E936" s="6" t="n">
        <v>1000</v>
      </c>
      <c r="F936" s="7" t="n">
        <v>19</v>
      </c>
      <c r="G936" s="6" t="n">
        <v>34.9</v>
      </c>
      <c r="H936" s="6" t="n">
        <v>86</v>
      </c>
      <c r="I936" s="6" t="n">
        <v>663.1</v>
      </c>
      <c r="J936" s="6" t="n">
        <v>577.1</v>
      </c>
    </row>
    <row collapsed="false" customFormat="false" customHeight="false" hidden="false" ht="12.1" outlineLevel="0" r="937">
      <c r="A937" s="35" t="n">
        <v>46428</v>
      </c>
      <c r="B937" s="16" t="s">
        <v>1375</v>
      </c>
      <c r="C937" s="16" t="s">
        <v>246</v>
      </c>
      <c r="D937" s="16" t="s">
        <v>247</v>
      </c>
      <c r="E937" s="6" t="n">
        <v>1000</v>
      </c>
      <c r="F937" s="7" t="n">
        <v>1</v>
      </c>
      <c r="G937" s="6" t="n">
        <v>20.96</v>
      </c>
      <c r="H937" s="6" t="n">
        <v>3</v>
      </c>
      <c r="I937" s="6" t="n">
        <v>20.96</v>
      </c>
      <c r="J937" s="6" t="n">
        <v>17.96</v>
      </c>
    </row>
    <row collapsed="false" customFormat="false" customHeight="false" hidden="false" ht="12.1" outlineLevel="0" r="938">
      <c r="A938" s="35" t="n">
        <v>46429</v>
      </c>
      <c r="B938" s="16" t="s">
        <v>1375</v>
      </c>
      <c r="C938" s="16" t="s">
        <v>160</v>
      </c>
      <c r="D938" s="16" t="s">
        <v>161</v>
      </c>
      <c r="E938" s="6" t="n">
        <v>1000</v>
      </c>
      <c r="F938" s="7" t="n">
        <v>4</v>
      </c>
      <c r="G938" s="6" t="n">
        <v>51.86</v>
      </c>
      <c r="H938" s="6" t="n">
        <v>27</v>
      </c>
      <c r="I938" s="6" t="n">
        <v>207.44</v>
      </c>
      <c r="J938" s="6" t="n">
        <v>180.44</v>
      </c>
    </row>
    <row collapsed="false" customFormat="false" customHeight="false" hidden="false" ht="12.1" outlineLevel="0" r="939">
      <c r="A939" s="35" t="n">
        <v>46429</v>
      </c>
      <c r="B939" s="16" t="s">
        <v>1375</v>
      </c>
      <c r="C939" s="16" t="s">
        <v>323</v>
      </c>
      <c r="D939" s="16" t="s">
        <v>324</v>
      </c>
      <c r="E939" s="6" t="n">
        <v>1000</v>
      </c>
      <c r="F939" s="7" t="n">
        <v>1</v>
      </c>
      <c r="G939" s="6" t="n">
        <v>2.79</v>
      </c>
      <c r="H939" s="6" t="n">
        <v>0</v>
      </c>
      <c r="I939" s="6" t="n">
        <v>2.79</v>
      </c>
      <c r="J939" s="6" t="n">
        <v>2.79</v>
      </c>
    </row>
    <row collapsed="false" customFormat="false" customHeight="false" hidden="false" ht="12.1" outlineLevel="0" r="940">
      <c r="A940" s="35" t="n">
        <v>46432</v>
      </c>
      <c r="B940" s="16" t="s">
        <v>1375</v>
      </c>
      <c r="C940" s="16" t="s">
        <v>190</v>
      </c>
      <c r="D940" s="16" t="s">
        <v>191</v>
      </c>
      <c r="E940" s="6" t="n">
        <v>1000</v>
      </c>
      <c r="F940" s="7" t="n">
        <v>2</v>
      </c>
      <c r="G940" s="6" t="n">
        <v>13.77</v>
      </c>
      <c r="H940" s="6" t="n">
        <v>4</v>
      </c>
      <c r="I940" s="6" t="n">
        <v>27.54</v>
      </c>
      <c r="J940" s="6" t="n">
        <v>23.54</v>
      </c>
    </row>
    <row collapsed="false" customFormat="false" customHeight="false" hidden="false" ht="12.1" outlineLevel="0" r="941">
      <c r="A941" s="35" t="n">
        <v>46433</v>
      </c>
      <c r="B941" s="16" t="s">
        <v>1375</v>
      </c>
      <c r="C941" s="16" t="s">
        <v>263</v>
      </c>
      <c r="D941" s="16" t="s">
        <v>264</v>
      </c>
      <c r="E941" s="6" t="n">
        <v>1000</v>
      </c>
      <c r="F941" s="7" t="n">
        <v>1</v>
      </c>
      <c r="G941" s="6" t="n">
        <v>12.66</v>
      </c>
      <c r="H941" s="6" t="n">
        <v>2</v>
      </c>
      <c r="I941" s="6" t="n">
        <v>12.66</v>
      </c>
      <c r="J941" s="6" t="n">
        <v>10.66</v>
      </c>
    </row>
    <row collapsed="false" customFormat="false" customHeight="false" hidden="false" ht="12.1" outlineLevel="0" r="942">
      <c r="A942" s="35" t="n">
        <v>46434</v>
      </c>
      <c r="B942" s="16" t="s">
        <v>1375</v>
      </c>
      <c r="C942" s="16" t="s">
        <v>257</v>
      </c>
      <c r="D942" s="16" t="s">
        <v>258</v>
      </c>
      <c r="E942" s="6" t="n">
        <v>1000</v>
      </c>
      <c r="F942" s="7" t="n">
        <v>1</v>
      </c>
      <c r="G942" s="6" t="n">
        <v>14.48</v>
      </c>
      <c r="H942" s="6" t="n">
        <v>2</v>
      </c>
      <c r="I942" s="6" t="n">
        <v>14.48</v>
      </c>
      <c r="J942" s="6" t="n">
        <v>12.48</v>
      </c>
    </row>
    <row collapsed="false" customFormat="false" customHeight="false" hidden="false" ht="12.1" outlineLevel="0" r="943">
      <c r="A943" s="35" t="n">
        <v>46434</v>
      </c>
      <c r="B943" s="16" t="s">
        <v>1375</v>
      </c>
      <c r="C943" s="16" t="s">
        <v>243</v>
      </c>
      <c r="D943" s="16" t="s">
        <v>244</v>
      </c>
      <c r="E943" s="6" t="n">
        <v>1000</v>
      </c>
      <c r="F943" s="7" t="n">
        <v>1</v>
      </c>
      <c r="G943" s="6" t="n">
        <v>14.79</v>
      </c>
      <c r="H943" s="6" t="n">
        <v>2</v>
      </c>
      <c r="I943" s="6" t="n">
        <v>14.79</v>
      </c>
      <c r="J943" s="6" t="n">
        <v>12.79</v>
      </c>
    </row>
    <row collapsed="false" customFormat="false" customHeight="false" hidden="false" ht="12.1" outlineLevel="0" r="944">
      <c r="A944" s="35" t="n">
        <v>46435</v>
      </c>
      <c r="B944" s="16" t="s">
        <v>1375</v>
      </c>
      <c r="C944" s="16" t="s">
        <v>249</v>
      </c>
      <c r="D944" s="16" t="s">
        <v>250</v>
      </c>
      <c r="E944" s="6" t="n">
        <v>1000</v>
      </c>
      <c r="F944" s="7" t="n">
        <v>1</v>
      </c>
      <c r="G944" s="6" t="n">
        <v>11.42</v>
      </c>
      <c r="H944" s="6" t="n">
        <v>1</v>
      </c>
      <c r="I944" s="6" t="n">
        <v>11.42</v>
      </c>
      <c r="J944" s="6" t="n">
        <v>10.42</v>
      </c>
    </row>
    <row collapsed="false" customFormat="false" customHeight="false" hidden="false" ht="12.1" outlineLevel="0" r="945">
      <c r="A945" s="35" t="n">
        <v>46435</v>
      </c>
      <c r="B945" s="16" t="s">
        <v>1375</v>
      </c>
      <c r="C945" s="16" t="s">
        <v>331</v>
      </c>
      <c r="D945" s="16" t="s">
        <v>332</v>
      </c>
      <c r="E945" s="6" t="n">
        <v>250</v>
      </c>
      <c r="F945" s="7" t="n">
        <v>1</v>
      </c>
      <c r="G945" s="6" t="n">
        <v>4.33</v>
      </c>
      <c r="H945" s="6" t="n">
        <v>1</v>
      </c>
      <c r="I945" s="6" t="n">
        <v>4.33</v>
      </c>
      <c r="J945" s="6" t="n">
        <v>3.33</v>
      </c>
    </row>
    <row collapsed="false" customFormat="false" customHeight="false" hidden="false" ht="12.1" outlineLevel="0" r="946">
      <c r="A946" s="35" t="n">
        <v>46435</v>
      </c>
      <c r="B946" s="16" t="s">
        <v>1375</v>
      </c>
      <c r="C946" s="16" t="s">
        <v>252</v>
      </c>
      <c r="D946" s="16" t="s">
        <v>253</v>
      </c>
      <c r="E946" s="6" t="n">
        <v>1000</v>
      </c>
      <c r="F946" s="7" t="n">
        <v>1</v>
      </c>
      <c r="G946" s="6" t="n">
        <v>12.17</v>
      </c>
      <c r="H946" s="6" t="n">
        <v>2</v>
      </c>
      <c r="I946" s="6" t="n">
        <v>12.17</v>
      </c>
      <c r="J946" s="6" t="n">
        <v>10.17</v>
      </c>
    </row>
    <row collapsed="false" customFormat="false" customHeight="false" hidden="false" ht="12.1" outlineLevel="0" r="947">
      <c r="A947" s="35" t="n">
        <v>46435</v>
      </c>
      <c r="B947" s="16" t="s">
        <v>1375</v>
      </c>
      <c r="C947" s="16" t="s">
        <v>187</v>
      </c>
      <c r="D947" s="16" t="s">
        <v>188</v>
      </c>
      <c r="E947" s="6" t="n">
        <v>1000</v>
      </c>
      <c r="F947" s="7" t="n">
        <v>2</v>
      </c>
      <c r="G947" s="6" t="n">
        <v>39.87</v>
      </c>
      <c r="H947" s="6" t="n">
        <v>10</v>
      </c>
      <c r="I947" s="6" t="n">
        <v>79.74</v>
      </c>
      <c r="J947" s="6" t="n">
        <v>69.74</v>
      </c>
    </row>
    <row collapsed="false" customFormat="false" customHeight="false" hidden="false" ht="12.1" outlineLevel="0" r="948">
      <c r="A948" s="35" t="n">
        <v>46436</v>
      </c>
      <c r="B948" s="16" t="s">
        <v>1375</v>
      </c>
      <c r="C948" s="16" t="s">
        <v>184</v>
      </c>
      <c r="D948" s="16" t="s">
        <v>185</v>
      </c>
      <c r="E948" s="6" t="n">
        <v>1000</v>
      </c>
      <c r="F948" s="7" t="n">
        <v>2</v>
      </c>
      <c r="G948" s="6" t="n">
        <v>13.68</v>
      </c>
      <c r="H948" s="6" t="n">
        <v>4</v>
      </c>
      <c r="I948" s="6" t="n">
        <v>27.36</v>
      </c>
      <c r="J948" s="6" t="n">
        <v>23.36</v>
      </c>
    </row>
    <row collapsed="false" customFormat="false" customHeight="false" hidden="false" ht="12.1" outlineLevel="0" r="949">
      <c r="A949" s="35" t="n">
        <v>46436</v>
      </c>
      <c r="B949" s="16" t="s">
        <v>1375</v>
      </c>
      <c r="C949" s="16" t="s">
        <v>175</v>
      </c>
      <c r="D949" s="16" t="s">
        <v>176</v>
      </c>
      <c r="E949" s="6" t="n">
        <v>1000</v>
      </c>
      <c r="F949" s="7" t="n">
        <v>3</v>
      </c>
      <c r="G949" s="6" t="n">
        <v>44.88</v>
      </c>
      <c r="H949" s="6" t="n">
        <v>18</v>
      </c>
      <c r="I949" s="6" t="n">
        <v>134.64</v>
      </c>
      <c r="J949" s="6" t="n">
        <v>116.64</v>
      </c>
    </row>
    <row collapsed="false" customFormat="false" customHeight="false" hidden="false" ht="12.1" outlineLevel="0" r="950">
      <c r="A950" s="35" t="n">
        <v>46439</v>
      </c>
      <c r="B950" s="16" t="s">
        <v>1375</v>
      </c>
      <c r="C950" s="16" t="s">
        <v>193</v>
      </c>
      <c r="D950" s="16" t="s">
        <v>194</v>
      </c>
      <c r="E950" s="6" t="n">
        <v>1000</v>
      </c>
      <c r="F950" s="7" t="n">
        <v>2</v>
      </c>
      <c r="G950" s="6" t="n">
        <v>12.95</v>
      </c>
      <c r="H950" s="6" t="n">
        <v>3</v>
      </c>
      <c r="I950" s="6" t="n">
        <v>25.9</v>
      </c>
      <c r="J950" s="6" t="n">
        <v>22.9</v>
      </c>
    </row>
    <row collapsed="false" customFormat="false" customHeight="false" hidden="false" ht="12.1" outlineLevel="0" r="951">
      <c r="A951" s="35" t="n">
        <v>46440</v>
      </c>
      <c r="B951" s="16" t="s">
        <v>1375</v>
      </c>
      <c r="C951" s="16" t="s">
        <v>172</v>
      </c>
      <c r="D951" s="16" t="s">
        <v>173</v>
      </c>
      <c r="E951" s="6" t="n">
        <v>1000</v>
      </c>
      <c r="F951" s="7" t="n">
        <v>3</v>
      </c>
      <c r="G951" s="6" t="n">
        <v>24.93</v>
      </c>
      <c r="H951" s="6" t="n">
        <v>10</v>
      </c>
      <c r="I951" s="6" t="n">
        <v>74.79</v>
      </c>
      <c r="J951" s="6" t="n">
        <v>64.79</v>
      </c>
    </row>
    <row collapsed="false" customFormat="false" customHeight="false" hidden="false" ht="12.1" outlineLevel="0" r="952">
      <c r="A952" s="35" t="n">
        <v>46441</v>
      </c>
      <c r="B952" s="16" t="s">
        <v>1375</v>
      </c>
      <c r="C952" s="16" t="s">
        <v>181</v>
      </c>
      <c r="D952" s="16" t="s">
        <v>182</v>
      </c>
      <c r="E952" s="6" t="n">
        <v>1000</v>
      </c>
      <c r="F952" s="7" t="n">
        <v>2</v>
      </c>
      <c r="G952" s="6" t="n">
        <v>13.15</v>
      </c>
      <c r="H952" s="6" t="n">
        <v>3</v>
      </c>
      <c r="I952" s="6" t="n">
        <v>26.3</v>
      </c>
      <c r="J952" s="6" t="n">
        <v>23.3</v>
      </c>
    </row>
    <row collapsed="false" customFormat="false" customHeight="false" hidden="false" ht="12.1" outlineLevel="0" r="953">
      <c r="A953" s="35" t="n">
        <v>46443</v>
      </c>
      <c r="B953" s="16" t="s">
        <v>1375</v>
      </c>
      <c r="C953" s="16" t="s">
        <v>232</v>
      </c>
      <c r="D953" s="16" t="s">
        <v>233</v>
      </c>
      <c r="E953" s="6" t="n">
        <v>1000</v>
      </c>
      <c r="F953" s="7" t="n">
        <v>2</v>
      </c>
      <c r="G953" s="6" t="n">
        <v>1.64</v>
      </c>
      <c r="H953" s="6" t="n">
        <v>0</v>
      </c>
      <c r="I953" s="6" t="n">
        <v>3.28</v>
      </c>
      <c r="J953" s="6" t="n">
        <v>3.28</v>
      </c>
    </row>
    <row collapsed="false" customFormat="false" customHeight="false" hidden="false" ht="12.1" outlineLevel="0" r="954">
      <c r="A954" s="35" t="n">
        <v>46444</v>
      </c>
      <c r="B954" s="16" t="s">
        <v>1375</v>
      </c>
      <c r="C954" s="16" t="s">
        <v>234</v>
      </c>
      <c r="D954" s="16" t="s">
        <v>235</v>
      </c>
      <c r="E954" s="6" t="n">
        <v>1000</v>
      </c>
      <c r="F954" s="7" t="n">
        <v>1</v>
      </c>
      <c r="G954" s="6" t="n">
        <v>19.11</v>
      </c>
      <c r="H954" s="6" t="n">
        <v>2</v>
      </c>
      <c r="I954" s="6" t="n">
        <v>19.11</v>
      </c>
      <c r="J954" s="6" t="n">
        <v>17.11</v>
      </c>
    </row>
    <row collapsed="false" customFormat="false" customHeight="false" hidden="false" ht="12.1" outlineLevel="0" r="955">
      <c r="A955" s="35" t="n">
        <v>46446</v>
      </c>
      <c r="B955" s="16" t="s">
        <v>1375</v>
      </c>
      <c r="C955" s="16" t="s">
        <v>314</v>
      </c>
      <c r="D955" s="16" t="s">
        <v>315</v>
      </c>
      <c r="E955" s="6" t="n">
        <v>1000</v>
      </c>
      <c r="F955" s="7" t="n">
        <v>1</v>
      </c>
      <c r="G955" s="6" t="n">
        <v>25.68</v>
      </c>
      <c r="H955" s="6" t="n">
        <v>3</v>
      </c>
      <c r="I955" s="6" t="n">
        <v>25.68</v>
      </c>
      <c r="J955" s="6" t="n">
        <v>22.68</v>
      </c>
    </row>
    <row collapsed="false" customFormat="false" customHeight="false" hidden="false" ht="12.1" outlineLevel="0" r="956">
      <c r="A956" s="35" t="n">
        <v>46448</v>
      </c>
      <c r="B956" s="16" t="s">
        <v>1375</v>
      </c>
      <c r="C956" s="16" t="s">
        <v>240</v>
      </c>
      <c r="D956" s="16" t="s">
        <v>241</v>
      </c>
      <c r="E956" s="6" t="n">
        <v>1000</v>
      </c>
      <c r="F956" s="7" t="n">
        <v>1</v>
      </c>
      <c r="G956" s="6" t="n">
        <v>106.51</v>
      </c>
      <c r="H956" s="6" t="n">
        <v>14</v>
      </c>
      <c r="I956" s="6" t="n">
        <v>106.51</v>
      </c>
      <c r="J956" s="6" t="n">
        <v>92.51</v>
      </c>
    </row>
    <row collapsed="false" customFormat="false" customHeight="false" hidden="false" ht="12.1" outlineLevel="0" r="957">
      <c r="A957" s="35" t="n">
        <v>46448</v>
      </c>
      <c r="B957" s="16" t="s">
        <v>1375</v>
      </c>
      <c r="C957" s="16" t="s">
        <v>329</v>
      </c>
      <c r="D957" s="16" t="s">
        <v>330</v>
      </c>
      <c r="E957" s="6" t="n">
        <v>1000</v>
      </c>
      <c r="F957" s="7" t="n">
        <v>1</v>
      </c>
      <c r="G957" s="6" t="n">
        <v>19.87</v>
      </c>
      <c r="H957" s="6" t="n">
        <v>3</v>
      </c>
      <c r="I957" s="6" t="n">
        <v>19.87</v>
      </c>
      <c r="J957" s="6" t="n">
        <v>16.87</v>
      </c>
    </row>
    <row collapsed="false" customFormat="false" customHeight="false" hidden="false" ht="12.1" outlineLevel="0" r="958">
      <c r="A958" s="35" t="n">
        <v>46448</v>
      </c>
      <c r="B958" s="16" t="s">
        <v>1375</v>
      </c>
      <c r="C958" s="16" t="s">
        <v>163</v>
      </c>
      <c r="D958" s="16" t="s">
        <v>164</v>
      </c>
      <c r="E958" s="6" t="n">
        <v>1000</v>
      </c>
      <c r="F958" s="7" t="n">
        <v>4</v>
      </c>
      <c r="G958" s="6" t="n">
        <v>44.88</v>
      </c>
      <c r="H958" s="6" t="n">
        <v>23</v>
      </c>
      <c r="I958" s="6" t="n">
        <v>179.52</v>
      </c>
      <c r="J958" s="6" t="n">
        <v>156.52</v>
      </c>
    </row>
    <row collapsed="false" customFormat="false" customHeight="false" hidden="false" ht="12.1" outlineLevel="0" r="959">
      <c r="A959" s="35" t="n">
        <v>46448</v>
      </c>
      <c r="B959" s="16" t="s">
        <v>1375</v>
      </c>
      <c r="C959" s="16" t="s">
        <v>320</v>
      </c>
      <c r="D959" s="16" t="s">
        <v>321</v>
      </c>
      <c r="E959" s="6" t="n">
        <v>1000</v>
      </c>
      <c r="F959" s="7" t="n">
        <v>1</v>
      </c>
      <c r="G959" s="6" t="n">
        <v>19.55</v>
      </c>
      <c r="H959" s="6" t="n">
        <v>3</v>
      </c>
      <c r="I959" s="6" t="n">
        <v>19.55</v>
      </c>
      <c r="J959" s="6" t="n">
        <v>16.55</v>
      </c>
    </row>
    <row collapsed="false" customFormat="false" customHeight="false" hidden="false" ht="12.1" outlineLevel="0" r="960">
      <c r="A960" s="35" t="n">
        <v>46449</v>
      </c>
      <c r="B960" s="16" t="s">
        <v>1375</v>
      </c>
      <c r="C960" s="16" t="s">
        <v>281</v>
      </c>
      <c r="D960" s="16" t="s">
        <v>282</v>
      </c>
      <c r="E960" s="6" t="n">
        <v>1000</v>
      </c>
      <c r="F960" s="7" t="n">
        <v>1</v>
      </c>
      <c r="G960" s="6" t="n">
        <v>17.76</v>
      </c>
      <c r="H960" s="6" t="n">
        <v>2</v>
      </c>
      <c r="I960" s="6" t="n">
        <v>17.76</v>
      </c>
      <c r="J960" s="6" t="n">
        <v>15.76</v>
      </c>
    </row>
    <row collapsed="false" customFormat="false" customHeight="false" hidden="false" ht="12.1" outlineLevel="0" r="961">
      <c r="A961" s="35" t="n">
        <v>46452</v>
      </c>
      <c r="B961" s="16" t="s">
        <v>1375</v>
      </c>
      <c r="C961" s="16" t="s">
        <v>254</v>
      </c>
      <c r="D961" s="16" t="s">
        <v>255</v>
      </c>
      <c r="E961" s="6" t="n">
        <v>1000</v>
      </c>
      <c r="F961" s="7" t="n">
        <v>1</v>
      </c>
      <c r="G961" s="6" t="n">
        <v>11.38</v>
      </c>
      <c r="H961" s="6" t="n">
        <v>1</v>
      </c>
      <c r="I961" s="6" t="n">
        <v>11.38</v>
      </c>
      <c r="J961" s="6" t="n">
        <v>10.38</v>
      </c>
    </row>
    <row collapsed="false" customFormat="false" customHeight="false" hidden="false" ht="12.1" outlineLevel="0" r="962">
      <c r="A962" s="35" t="n">
        <v>46457</v>
      </c>
      <c r="B962" s="16" t="s">
        <v>1375</v>
      </c>
      <c r="C962" s="16" t="s">
        <v>229</v>
      </c>
      <c r="D962" s="16" t="s">
        <v>230</v>
      </c>
      <c r="E962" s="6" t="n">
        <v>1000</v>
      </c>
      <c r="F962" s="7" t="n">
        <v>2</v>
      </c>
      <c r="G962" s="6" t="n">
        <v>17.83</v>
      </c>
      <c r="H962" s="6" t="n">
        <v>5</v>
      </c>
      <c r="I962" s="6" t="n">
        <v>35.66</v>
      </c>
      <c r="J962" s="6" t="n">
        <v>30.66</v>
      </c>
    </row>
    <row collapsed="false" customFormat="false" customHeight="false" hidden="false" ht="12.1" outlineLevel="0" r="963">
      <c r="A963" s="35" t="n">
        <v>46458</v>
      </c>
      <c r="B963" s="16" t="s">
        <v>1375</v>
      </c>
      <c r="C963" s="16" t="s">
        <v>246</v>
      </c>
      <c r="D963" s="16" t="s">
        <v>247</v>
      </c>
      <c r="E963" s="6" t="n">
        <v>1000</v>
      </c>
      <c r="F963" s="7" t="n">
        <v>1</v>
      </c>
      <c r="G963" s="6" t="n">
        <v>20.96</v>
      </c>
      <c r="H963" s="6" t="n">
        <v>3</v>
      </c>
      <c r="I963" s="6" t="n">
        <v>20.96</v>
      </c>
      <c r="J963" s="6" t="n">
        <v>17.96</v>
      </c>
    </row>
    <row collapsed="false" customFormat="false" customHeight="false" hidden="false" ht="12.1" outlineLevel="0" r="964">
      <c r="A964" s="35" t="n">
        <v>46459</v>
      </c>
      <c r="B964" s="16" t="s">
        <v>1375</v>
      </c>
      <c r="C964" s="16" t="s">
        <v>323</v>
      </c>
      <c r="D964" s="16" t="s">
        <v>324</v>
      </c>
      <c r="E964" s="6" t="n">
        <v>1000</v>
      </c>
      <c r="F964" s="7" t="n">
        <v>1</v>
      </c>
      <c r="G964" s="6" t="n">
        <v>2.79</v>
      </c>
      <c r="H964" s="6" t="n">
        <v>0</v>
      </c>
      <c r="I964" s="6" t="n">
        <v>2.79</v>
      </c>
      <c r="J964" s="6" t="n">
        <v>2.79</v>
      </c>
    </row>
    <row collapsed="false" customFormat="false" customHeight="false" hidden="false" ht="12.1" outlineLevel="0" r="965">
      <c r="A965" s="35" t="n">
        <v>46462</v>
      </c>
      <c r="B965" s="16" t="s">
        <v>1375</v>
      </c>
      <c r="C965" s="16" t="s">
        <v>103</v>
      </c>
      <c r="D965" s="16" t="s">
        <v>104</v>
      </c>
      <c r="E965" s="6" t="n">
        <v>1000</v>
      </c>
      <c r="F965" s="7" t="n">
        <v>17</v>
      </c>
      <c r="G965" s="6" t="n">
        <v>29.42</v>
      </c>
      <c r="H965" s="6" t="n">
        <v>65</v>
      </c>
      <c r="I965" s="6" t="n">
        <v>500.14</v>
      </c>
      <c r="J965" s="6" t="n">
        <v>435.14</v>
      </c>
    </row>
    <row collapsed="false" customFormat="false" customHeight="false" hidden="false" ht="12.1" outlineLevel="0" r="966">
      <c r="A966" s="35" t="n">
        <v>46462</v>
      </c>
      <c r="B966" s="16" t="s">
        <v>1375</v>
      </c>
      <c r="C966" s="16" t="s">
        <v>190</v>
      </c>
      <c r="D966" s="16" t="s">
        <v>191</v>
      </c>
      <c r="E966" s="6" t="n">
        <v>1000</v>
      </c>
      <c r="F966" s="7" t="n">
        <v>2</v>
      </c>
      <c r="G966" s="6" t="n">
        <v>13.77</v>
      </c>
      <c r="H966" s="6" t="n">
        <v>4</v>
      </c>
      <c r="I966" s="6" t="n">
        <v>27.54</v>
      </c>
      <c r="J966" s="6" t="n">
        <v>23.54</v>
      </c>
    </row>
    <row collapsed="false" customFormat="false" customHeight="false" hidden="false" ht="12.1" outlineLevel="0" r="967">
      <c r="A967" s="35" t="n">
        <v>46463</v>
      </c>
      <c r="B967" s="16" t="s">
        <v>1375</v>
      </c>
      <c r="C967" s="16" t="s">
        <v>263</v>
      </c>
      <c r="D967" s="16" t="s">
        <v>264</v>
      </c>
      <c r="E967" s="6" t="n">
        <v>1000</v>
      </c>
      <c r="F967" s="7" t="n">
        <v>1</v>
      </c>
      <c r="G967" s="6" t="n">
        <v>12.66</v>
      </c>
      <c r="H967" s="6" t="n">
        <v>2</v>
      </c>
      <c r="I967" s="6" t="n">
        <v>12.66</v>
      </c>
      <c r="J967" s="6" t="n">
        <v>10.66</v>
      </c>
    </row>
    <row collapsed="false" customFormat="false" customHeight="false" hidden="false" ht="12.1" outlineLevel="0" r="968">
      <c r="A968" s="35" t="n">
        <v>46464</v>
      </c>
      <c r="B968" s="16" t="s">
        <v>1375</v>
      </c>
      <c r="C968" s="16" t="s">
        <v>243</v>
      </c>
      <c r="D968" s="16" t="s">
        <v>244</v>
      </c>
      <c r="E968" s="6" t="n">
        <v>1000</v>
      </c>
      <c r="F968" s="7" t="n">
        <v>1</v>
      </c>
      <c r="G968" s="6" t="n">
        <v>14.79</v>
      </c>
      <c r="H968" s="6" t="n">
        <v>2</v>
      </c>
      <c r="I968" s="6" t="n">
        <v>14.79</v>
      </c>
      <c r="J968" s="6" t="n">
        <v>12.79</v>
      </c>
    </row>
    <row collapsed="false" customFormat="false" customHeight="false" hidden="false" ht="12.1" outlineLevel="0" r="969">
      <c r="A969" s="35" t="n">
        <v>46465</v>
      </c>
      <c r="B969" s="16" t="s">
        <v>1375</v>
      </c>
      <c r="C969" s="16" t="s">
        <v>249</v>
      </c>
      <c r="D969" s="16" t="s">
        <v>250</v>
      </c>
      <c r="E969" s="6" t="n">
        <v>1000</v>
      </c>
      <c r="F969" s="7" t="n">
        <v>1</v>
      </c>
      <c r="G969" s="6" t="n">
        <v>11.42</v>
      </c>
      <c r="H969" s="6" t="n">
        <v>1</v>
      </c>
      <c r="I969" s="6" t="n">
        <v>11.42</v>
      </c>
      <c r="J969" s="6" t="n">
        <v>10.42</v>
      </c>
    </row>
    <row collapsed="false" customFormat="false" customHeight="false" hidden="false" ht="12.1" outlineLevel="0" r="970">
      <c r="A970" s="35" t="n">
        <v>46465</v>
      </c>
      <c r="B970" s="16" t="s">
        <v>1375</v>
      </c>
      <c r="C970" s="16" t="s">
        <v>252</v>
      </c>
      <c r="D970" s="16" t="s">
        <v>253</v>
      </c>
      <c r="E970" s="6" t="n">
        <v>1000</v>
      </c>
      <c r="F970" s="7" t="n">
        <v>1</v>
      </c>
      <c r="G970" s="6" t="n">
        <v>9.74</v>
      </c>
      <c r="H970" s="6" t="n">
        <v>1</v>
      </c>
      <c r="I970" s="6" t="n">
        <v>9.74</v>
      </c>
      <c r="J970" s="6" t="n">
        <v>8.74</v>
      </c>
    </row>
    <row collapsed="false" customFormat="false" customHeight="false" hidden="false" ht="12.1" outlineLevel="0" r="971">
      <c r="A971" s="35" t="n">
        <v>46466</v>
      </c>
      <c r="B971" s="16" t="s">
        <v>1375</v>
      </c>
      <c r="C971" s="16" t="s">
        <v>184</v>
      </c>
      <c r="D971" s="16" t="s">
        <v>185</v>
      </c>
      <c r="E971" s="6" t="n">
        <v>1000</v>
      </c>
      <c r="F971" s="7" t="n">
        <v>2</v>
      </c>
      <c r="G971" s="6" t="n">
        <v>13.68</v>
      </c>
      <c r="H971" s="6" t="n">
        <v>4</v>
      </c>
      <c r="I971" s="6" t="n">
        <v>27.36</v>
      </c>
      <c r="J971" s="6" t="n">
        <v>23.36</v>
      </c>
    </row>
    <row collapsed="false" customFormat="false" customHeight="false" hidden="false" ht="12.1" outlineLevel="0" r="972">
      <c r="A972" s="35" t="n">
        <v>46467</v>
      </c>
      <c r="B972" s="16" t="s">
        <v>1375</v>
      </c>
      <c r="C972" s="16" t="s">
        <v>220</v>
      </c>
      <c r="D972" s="16" t="s">
        <v>221</v>
      </c>
      <c r="E972" s="6" t="n">
        <v>1000</v>
      </c>
      <c r="F972" s="7" t="n">
        <v>2</v>
      </c>
      <c r="G972" s="6" t="n">
        <v>45.38</v>
      </c>
      <c r="H972" s="6" t="n">
        <v>12</v>
      </c>
      <c r="I972" s="6" t="n">
        <v>90.76</v>
      </c>
      <c r="J972" s="6" t="n">
        <v>78.76</v>
      </c>
    </row>
    <row collapsed="false" customFormat="false" customHeight="false" hidden="false" ht="12.1" outlineLevel="0" r="973">
      <c r="A973" s="35" t="n">
        <v>46469</v>
      </c>
      <c r="B973" s="16" t="s">
        <v>1375</v>
      </c>
      <c r="C973" s="16" t="s">
        <v>97</v>
      </c>
      <c r="D973" s="16" t="s">
        <v>98</v>
      </c>
      <c r="E973" s="6" t="n">
        <v>1000</v>
      </c>
      <c r="F973" s="7" t="n">
        <v>14</v>
      </c>
      <c r="G973" s="6" t="n">
        <v>59.84</v>
      </c>
      <c r="H973" s="6" t="n">
        <v>109</v>
      </c>
      <c r="I973" s="6" t="n">
        <v>837.76</v>
      </c>
      <c r="J973" s="6" t="n">
        <v>728.76</v>
      </c>
    </row>
    <row collapsed="false" customFormat="false" customHeight="false" hidden="false" ht="12.1" outlineLevel="0" r="974">
      <c r="A974" s="35" t="n">
        <v>46469</v>
      </c>
      <c r="B974" s="16" t="s">
        <v>1375</v>
      </c>
      <c r="C974" s="16" t="s">
        <v>130</v>
      </c>
      <c r="D974" s="16" t="s">
        <v>131</v>
      </c>
      <c r="E974" s="6" t="n">
        <v>1000</v>
      </c>
      <c r="F974" s="7" t="n">
        <v>11</v>
      </c>
      <c r="G974" s="6" t="n">
        <v>56.1</v>
      </c>
      <c r="H974" s="6" t="n">
        <v>80</v>
      </c>
      <c r="I974" s="6" t="n">
        <v>617.1</v>
      </c>
      <c r="J974" s="6" t="n">
        <v>537.1</v>
      </c>
    </row>
    <row collapsed="false" customFormat="false" customHeight="false" hidden="false" ht="12.1" outlineLevel="0" r="975">
      <c r="A975" s="35" t="n">
        <v>46469</v>
      </c>
      <c r="B975" s="16" t="s">
        <v>1375</v>
      </c>
      <c r="C975" s="16" t="s">
        <v>157</v>
      </c>
      <c r="D975" s="16" t="s">
        <v>158</v>
      </c>
      <c r="E975" s="6" t="n">
        <v>1448.61</v>
      </c>
      <c r="F975" s="7" t="n">
        <v>4</v>
      </c>
      <c r="G975" s="6" t="n">
        <v>18.13</v>
      </c>
      <c r="H975" s="6" t="n">
        <v>9</v>
      </c>
      <c r="I975" s="6" t="n">
        <v>72.52</v>
      </c>
      <c r="J975" s="6" t="n">
        <v>63.52</v>
      </c>
    </row>
    <row collapsed="false" customFormat="false" customHeight="false" hidden="false" ht="12.1" outlineLevel="0" r="976">
      <c r="A976" s="35" t="n">
        <v>46469</v>
      </c>
      <c r="B976" s="16" t="s">
        <v>1375</v>
      </c>
      <c r="C976" s="16" t="s">
        <v>133</v>
      </c>
      <c r="D976" s="16" t="s">
        <v>134</v>
      </c>
      <c r="E976" s="6" t="n">
        <v>1000</v>
      </c>
      <c r="F976" s="7" t="n">
        <v>12</v>
      </c>
      <c r="G976" s="6" t="n">
        <v>42.38</v>
      </c>
      <c r="H976" s="6" t="n">
        <v>66</v>
      </c>
      <c r="I976" s="6" t="n">
        <v>508.56</v>
      </c>
      <c r="J976" s="6" t="n">
        <v>442.56</v>
      </c>
    </row>
    <row collapsed="false" customFormat="false" customHeight="false" hidden="false" ht="12.1" outlineLevel="0" r="977">
      <c r="A977" s="35" t="n">
        <v>46469</v>
      </c>
      <c r="B977" s="16" t="s">
        <v>1375</v>
      </c>
      <c r="C977" s="16" t="s">
        <v>193</v>
      </c>
      <c r="D977" s="16" t="s">
        <v>194</v>
      </c>
      <c r="E977" s="6" t="n">
        <v>1000</v>
      </c>
      <c r="F977" s="7" t="n">
        <v>2</v>
      </c>
      <c r="G977" s="6" t="n">
        <v>12.95</v>
      </c>
      <c r="H977" s="6" t="n">
        <v>3</v>
      </c>
      <c r="I977" s="6" t="n">
        <v>25.9</v>
      </c>
      <c r="J977" s="6" t="n">
        <v>22.9</v>
      </c>
    </row>
    <row collapsed="false" customFormat="false" customHeight="false" hidden="false" ht="12.1" outlineLevel="0" r="978">
      <c r="A978" s="35" t="n">
        <v>46471</v>
      </c>
      <c r="B978" s="16" t="s">
        <v>1375</v>
      </c>
      <c r="C978" s="16" t="s">
        <v>181</v>
      </c>
      <c r="D978" s="16" t="s">
        <v>182</v>
      </c>
      <c r="E978" s="6" t="n">
        <v>1000</v>
      </c>
      <c r="F978" s="7" t="n">
        <v>2</v>
      </c>
      <c r="G978" s="6" t="n">
        <v>13.15</v>
      </c>
      <c r="H978" s="6" t="n">
        <v>3</v>
      </c>
      <c r="I978" s="6" t="n">
        <v>26.3</v>
      </c>
      <c r="J978" s="6" t="n">
        <v>23.3</v>
      </c>
    </row>
    <row collapsed="false" customFormat="false" customHeight="false" hidden="false" ht="12.1" outlineLevel="0" r="979">
      <c r="A979" s="35" t="n">
        <v>46471</v>
      </c>
      <c r="B979" s="16" t="s">
        <v>1375</v>
      </c>
      <c r="C979" s="16" t="s">
        <v>269</v>
      </c>
      <c r="D979" s="16" t="s">
        <v>270</v>
      </c>
      <c r="E979" s="6" t="n">
        <v>1000</v>
      </c>
      <c r="F979" s="7" t="n">
        <v>1</v>
      </c>
      <c r="G979" s="6" t="n">
        <v>52.36</v>
      </c>
      <c r="H979" s="6" t="n">
        <v>7</v>
      </c>
      <c r="I979" s="6" t="n">
        <v>52.36</v>
      </c>
      <c r="J979" s="6" t="n">
        <v>45.36</v>
      </c>
    </row>
    <row collapsed="false" customFormat="false" customHeight="false" hidden="false" ht="12.1" outlineLevel="0" r="980">
      <c r="A980" s="35" t="n">
        <v>46473</v>
      </c>
      <c r="B980" s="16" t="s">
        <v>1375</v>
      </c>
      <c r="C980" s="16" t="s">
        <v>232</v>
      </c>
      <c r="D980" s="16" t="s">
        <v>233</v>
      </c>
      <c r="E980" s="6" t="n">
        <v>1000</v>
      </c>
      <c r="F980" s="7" t="n">
        <v>2</v>
      </c>
      <c r="G980" s="6" t="n">
        <v>1.64</v>
      </c>
      <c r="H980" s="6" t="n">
        <v>0</v>
      </c>
      <c r="I980" s="6" t="n">
        <v>3.28</v>
      </c>
      <c r="J980" s="6" t="n">
        <v>3.28</v>
      </c>
    </row>
    <row collapsed="false" customFormat="false" customHeight="false" hidden="false" ht="12.1" outlineLevel="0" r="981">
      <c r="A981" s="35" t="n">
        <v>46474</v>
      </c>
      <c r="B981" s="16" t="s">
        <v>1375</v>
      </c>
      <c r="C981" s="16" t="s">
        <v>234</v>
      </c>
      <c r="D981" s="16" t="s">
        <v>235</v>
      </c>
      <c r="E981" s="6" t="n">
        <v>1000</v>
      </c>
      <c r="F981" s="7" t="n">
        <v>1</v>
      </c>
      <c r="G981" s="6" t="n">
        <v>19.11</v>
      </c>
      <c r="H981" s="6" t="n">
        <v>2</v>
      </c>
      <c r="I981" s="6" t="n">
        <v>19.11</v>
      </c>
      <c r="J981" s="6" t="n">
        <v>17.11</v>
      </c>
    </row>
    <row collapsed="false" customFormat="false" customHeight="false" hidden="false" ht="12.1" outlineLevel="0" r="982">
      <c r="A982" s="35" t="n">
        <v>46476</v>
      </c>
      <c r="B982" s="16" t="s">
        <v>1375</v>
      </c>
      <c r="C982" s="16" t="s">
        <v>127</v>
      </c>
      <c r="D982" s="16" t="s">
        <v>128</v>
      </c>
      <c r="E982" s="6" t="n">
        <v>1000</v>
      </c>
      <c r="F982" s="7" t="n">
        <v>14</v>
      </c>
      <c r="G982" s="6" t="n">
        <v>38.39</v>
      </c>
      <c r="H982" s="6" t="n">
        <v>70</v>
      </c>
      <c r="I982" s="6" t="n">
        <v>537.46</v>
      </c>
      <c r="J982" s="6" t="n">
        <v>467.46</v>
      </c>
    </row>
    <row collapsed="false" customFormat="false" customHeight="false" hidden="false" ht="12.1" outlineLevel="0" r="983">
      <c r="A983" s="35" t="n">
        <v>46476</v>
      </c>
      <c r="B983" s="16" t="s">
        <v>1375</v>
      </c>
      <c r="C983" s="16" t="s">
        <v>106</v>
      </c>
      <c r="D983" s="16" t="s">
        <v>107</v>
      </c>
      <c r="E983" s="6" t="n">
        <v>1000</v>
      </c>
      <c r="F983" s="7" t="n">
        <v>18</v>
      </c>
      <c r="G983" s="6" t="n">
        <v>38.39</v>
      </c>
      <c r="H983" s="6" t="n">
        <v>90</v>
      </c>
      <c r="I983" s="6" t="n">
        <v>691.02</v>
      </c>
      <c r="J983" s="6" t="n">
        <v>601.02</v>
      </c>
    </row>
    <row collapsed="false" customFormat="false" customHeight="false" hidden="false" ht="12.1" outlineLevel="0" r="984">
      <c r="A984" s="35" t="n">
        <v>46482</v>
      </c>
      <c r="B984" s="16" t="s">
        <v>1375</v>
      </c>
      <c r="C984" s="16" t="s">
        <v>254</v>
      </c>
      <c r="D984" s="16" t="s">
        <v>255</v>
      </c>
      <c r="E984" s="6" t="n">
        <v>1000</v>
      </c>
      <c r="F984" s="7" t="n">
        <v>1</v>
      </c>
      <c r="G984" s="6" t="n">
        <v>11.38</v>
      </c>
      <c r="H984" s="6" t="n">
        <v>1</v>
      </c>
      <c r="I984" s="6" t="n">
        <v>11.38</v>
      </c>
      <c r="J984" s="6" t="n">
        <v>10.38</v>
      </c>
    </row>
    <row collapsed="false" customFormat="false" customHeight="false" hidden="false" ht="12.1" outlineLevel="0" r="985">
      <c r="A985" s="35" t="n">
        <v>46483</v>
      </c>
      <c r="B985" s="16" t="s">
        <v>1375</v>
      </c>
      <c r="C985" s="16" t="s">
        <v>121</v>
      </c>
      <c r="D985" s="16" t="s">
        <v>122</v>
      </c>
      <c r="E985" s="6" t="n">
        <v>1000</v>
      </c>
      <c r="F985" s="7" t="n">
        <v>12</v>
      </c>
      <c r="G985" s="6" t="n">
        <v>59.84</v>
      </c>
      <c r="H985" s="6" t="n">
        <v>93</v>
      </c>
      <c r="I985" s="6" t="n">
        <v>718.08</v>
      </c>
      <c r="J985" s="6" t="n">
        <v>625.08</v>
      </c>
    </row>
    <row collapsed="false" customFormat="false" customHeight="false" hidden="false" ht="12.1" outlineLevel="0" r="986">
      <c r="A986" s="35" t="n">
        <v>46483</v>
      </c>
      <c r="B986" s="16" t="s">
        <v>1375</v>
      </c>
      <c r="C986" s="16" t="s">
        <v>142</v>
      </c>
      <c r="D986" s="16" t="s">
        <v>143</v>
      </c>
      <c r="E986" s="6" t="n">
        <v>1000</v>
      </c>
      <c r="F986" s="7" t="n">
        <v>5</v>
      </c>
      <c r="G986" s="6" t="n">
        <v>102.92</v>
      </c>
      <c r="H986" s="6" t="n">
        <v>67</v>
      </c>
      <c r="I986" s="6" t="n">
        <v>514.6</v>
      </c>
      <c r="J986" s="6" t="n">
        <v>447.6</v>
      </c>
    </row>
    <row collapsed="false" customFormat="false" customHeight="false" hidden="false" ht="12.1" outlineLevel="0" r="987">
      <c r="A987" s="35" t="n">
        <v>46488</v>
      </c>
      <c r="B987" s="16" t="s">
        <v>1375</v>
      </c>
      <c r="C987" s="16" t="s">
        <v>246</v>
      </c>
      <c r="D987" s="16" t="s">
        <v>247</v>
      </c>
      <c r="E987" s="6" t="n">
        <v>1000</v>
      </c>
      <c r="F987" s="7" t="n">
        <v>1</v>
      </c>
      <c r="G987" s="6" t="n">
        <v>20.96</v>
      </c>
      <c r="H987" s="6" t="n">
        <v>3</v>
      </c>
      <c r="I987" s="6" t="n">
        <v>20.96</v>
      </c>
      <c r="J987" s="6" t="n">
        <v>17.96</v>
      </c>
    </row>
    <row collapsed="false" customFormat="false" customHeight="false" hidden="false" ht="12.1" outlineLevel="0" r="988">
      <c r="A988" s="35" t="n">
        <v>46489</v>
      </c>
      <c r="B988" s="16" t="s">
        <v>1375</v>
      </c>
      <c r="C988" s="16" t="s">
        <v>217</v>
      </c>
      <c r="D988" s="16" t="s">
        <v>218</v>
      </c>
      <c r="E988" s="6" t="n">
        <v>1000</v>
      </c>
      <c r="F988" s="7" t="n">
        <v>2</v>
      </c>
      <c r="G988" s="6" t="n">
        <v>24.93</v>
      </c>
      <c r="H988" s="6" t="n">
        <v>6</v>
      </c>
      <c r="I988" s="6" t="n">
        <v>49.86</v>
      </c>
      <c r="J988" s="6" t="n">
        <v>43.86</v>
      </c>
    </row>
    <row collapsed="false" customFormat="false" customHeight="false" hidden="false" ht="12.1" outlineLevel="0" r="989">
      <c r="A989" s="35" t="n">
        <v>46490</v>
      </c>
      <c r="B989" s="16" t="s">
        <v>1375</v>
      </c>
      <c r="C989" s="16" t="s">
        <v>237</v>
      </c>
      <c r="D989" s="16" t="s">
        <v>238</v>
      </c>
      <c r="E989" s="6" t="n">
        <v>1000</v>
      </c>
      <c r="F989" s="7" t="n">
        <v>1</v>
      </c>
      <c r="G989" s="6" t="n">
        <v>97.23</v>
      </c>
      <c r="H989" s="6" t="n">
        <v>13</v>
      </c>
      <c r="I989" s="6" t="n">
        <v>97.23</v>
      </c>
      <c r="J989" s="6" t="n">
        <v>84.23</v>
      </c>
    </row>
    <row collapsed="false" customFormat="false" customHeight="false" hidden="false" ht="12.1" outlineLevel="0" r="990">
      <c r="A990" s="35" t="n">
        <v>46490</v>
      </c>
      <c r="B990" s="16" t="s">
        <v>1375</v>
      </c>
      <c r="C990" s="16" t="s">
        <v>305</v>
      </c>
      <c r="D990" s="16" t="s">
        <v>306</v>
      </c>
      <c r="E990" s="6" t="n">
        <v>1000</v>
      </c>
      <c r="F990" s="7" t="n">
        <v>1</v>
      </c>
      <c r="G990" s="6" t="n">
        <v>26.18</v>
      </c>
      <c r="H990" s="6" t="n">
        <v>3</v>
      </c>
      <c r="I990" s="6" t="n">
        <v>26.18</v>
      </c>
      <c r="J990" s="6" t="n">
        <v>23.18</v>
      </c>
    </row>
    <row collapsed="false" customFormat="false" customHeight="false" hidden="false" ht="12.1" outlineLevel="0" r="991">
      <c r="A991" s="35" t="n">
        <v>46490</v>
      </c>
      <c r="B991" s="16" t="s">
        <v>1375</v>
      </c>
      <c r="C991" s="16" t="s">
        <v>124</v>
      </c>
      <c r="D991" s="16" t="s">
        <v>125</v>
      </c>
      <c r="E991" s="6" t="n">
        <v>1000</v>
      </c>
      <c r="F991" s="7" t="n">
        <v>13</v>
      </c>
      <c r="G991" s="6" t="n">
        <v>38.15</v>
      </c>
      <c r="H991" s="6" t="n">
        <v>64</v>
      </c>
      <c r="I991" s="6" t="n">
        <v>495.95</v>
      </c>
      <c r="J991" s="6" t="n">
        <v>431.95</v>
      </c>
    </row>
    <row collapsed="false" customFormat="false" customHeight="false" hidden="false" ht="12.1" outlineLevel="0" r="992">
      <c r="A992" s="35" t="n">
        <v>46491</v>
      </c>
      <c r="B992" s="16" t="s">
        <v>1375</v>
      </c>
      <c r="C992" s="16" t="s">
        <v>178</v>
      </c>
      <c r="D992" s="16" t="s">
        <v>179</v>
      </c>
      <c r="E992" s="6" t="n">
        <v>1000</v>
      </c>
      <c r="F992" s="7" t="n">
        <v>2</v>
      </c>
      <c r="G992" s="6" t="n">
        <v>43.13</v>
      </c>
      <c r="H992" s="6" t="n">
        <v>11</v>
      </c>
      <c r="I992" s="6" t="n">
        <v>86.26</v>
      </c>
      <c r="J992" s="6" t="n">
        <v>75.26</v>
      </c>
    </row>
    <row collapsed="false" customFormat="false" customHeight="false" hidden="false" ht="12.1" outlineLevel="0" r="993">
      <c r="A993" s="35" t="n">
        <v>46492</v>
      </c>
      <c r="B993" s="16" t="s">
        <v>1375</v>
      </c>
      <c r="C993" s="16" t="s">
        <v>190</v>
      </c>
      <c r="D993" s="16" t="s">
        <v>191</v>
      </c>
      <c r="E993" s="6" t="n">
        <v>1000</v>
      </c>
      <c r="F993" s="7" t="n">
        <v>2</v>
      </c>
      <c r="G993" s="6" t="n">
        <v>13.77</v>
      </c>
      <c r="H993" s="6" t="n">
        <v>4</v>
      </c>
      <c r="I993" s="6" t="n">
        <v>27.54</v>
      </c>
      <c r="J993" s="6" t="n">
        <v>23.54</v>
      </c>
    </row>
    <row collapsed="false" customFormat="false" customHeight="false" hidden="false" ht="12.1" outlineLevel="0" r="994">
      <c r="A994" s="35" t="n">
        <v>46493</v>
      </c>
      <c r="B994" s="16" t="s">
        <v>1375</v>
      </c>
      <c r="C994" s="16" t="s">
        <v>263</v>
      </c>
      <c r="D994" s="16" t="s">
        <v>264</v>
      </c>
      <c r="E994" s="6" t="n">
        <v>1000</v>
      </c>
      <c r="F994" s="7" t="n">
        <v>1</v>
      </c>
      <c r="G994" s="6" t="n">
        <v>12.66</v>
      </c>
      <c r="H994" s="6" t="n">
        <v>2</v>
      </c>
      <c r="I994" s="6" t="n">
        <v>12.66</v>
      </c>
      <c r="J994" s="6" t="n">
        <v>10.66</v>
      </c>
    </row>
    <row collapsed="false" customFormat="false" customHeight="false" hidden="false" ht="12.1" outlineLevel="0" r="995">
      <c r="A995" s="35" t="n">
        <v>46494</v>
      </c>
      <c r="B995" s="16" t="s">
        <v>1375</v>
      </c>
      <c r="C995" s="16" t="s">
        <v>243</v>
      </c>
      <c r="D995" s="16" t="s">
        <v>244</v>
      </c>
      <c r="E995" s="6" t="n">
        <v>1000</v>
      </c>
      <c r="F995" s="7" t="n">
        <v>1</v>
      </c>
      <c r="G995" s="6" t="n">
        <v>14.79</v>
      </c>
      <c r="H995" s="6" t="n">
        <v>2</v>
      </c>
      <c r="I995" s="6" t="n">
        <v>14.79</v>
      </c>
      <c r="J995" s="6" t="n">
        <v>12.79</v>
      </c>
    </row>
    <row collapsed="false" customFormat="false" customHeight="false" hidden="false" ht="12.1" outlineLevel="0" r="996">
      <c r="A996" s="35" t="n">
        <v>46495</v>
      </c>
      <c r="B996" s="16" t="s">
        <v>1375</v>
      </c>
      <c r="C996" s="16" t="s">
        <v>249</v>
      </c>
      <c r="D996" s="16" t="s">
        <v>250</v>
      </c>
      <c r="E996" s="6" t="n">
        <v>1000</v>
      </c>
      <c r="F996" s="7" t="n">
        <v>1</v>
      </c>
      <c r="G996" s="6" t="n">
        <v>11.42</v>
      </c>
      <c r="H996" s="6" t="n">
        <v>1</v>
      </c>
      <c r="I996" s="6" t="n">
        <v>11.42</v>
      </c>
      <c r="J996" s="6" t="n">
        <v>10.42</v>
      </c>
    </row>
    <row collapsed="false" customFormat="false" customHeight="false" hidden="false" ht="12.1" outlineLevel="0" r="997">
      <c r="A997" s="35" t="n">
        <v>46495</v>
      </c>
      <c r="B997" s="16" t="s">
        <v>1375</v>
      </c>
      <c r="C997" s="16" t="s">
        <v>252</v>
      </c>
      <c r="D997" s="16" t="s">
        <v>253</v>
      </c>
      <c r="E997" s="6" t="n">
        <v>1000</v>
      </c>
      <c r="F997" s="7" t="n">
        <v>1</v>
      </c>
      <c r="G997" s="6" t="n">
        <v>9.74</v>
      </c>
      <c r="H997" s="6" t="n">
        <v>1</v>
      </c>
      <c r="I997" s="6" t="n">
        <v>9.74</v>
      </c>
      <c r="J997" s="6" t="n">
        <v>8.74</v>
      </c>
    </row>
    <row collapsed="false" customFormat="false" customHeight="false" hidden="false" ht="12.1" outlineLevel="0" r="998">
      <c r="A998" s="35" t="n">
        <v>46496</v>
      </c>
      <c r="B998" s="16" t="s">
        <v>1375</v>
      </c>
      <c r="C998" s="16" t="s">
        <v>184</v>
      </c>
      <c r="D998" s="16" t="s">
        <v>185</v>
      </c>
      <c r="E998" s="6" t="n">
        <v>1000</v>
      </c>
      <c r="F998" s="7" t="n">
        <v>2</v>
      </c>
      <c r="G998" s="6" t="n">
        <v>13.68</v>
      </c>
      <c r="H998" s="6" t="n">
        <v>4</v>
      </c>
      <c r="I998" s="6" t="n">
        <v>27.36</v>
      </c>
      <c r="J998" s="6" t="n">
        <v>23.36</v>
      </c>
    </row>
    <row collapsed="false" customFormat="false" customHeight="false" hidden="false" ht="12.1" outlineLevel="0" r="999">
      <c r="A999" s="35" t="n">
        <v>46497</v>
      </c>
      <c r="B999" s="16" t="s">
        <v>1375</v>
      </c>
      <c r="C999" s="16" t="s">
        <v>205</v>
      </c>
      <c r="D999" s="16" t="s">
        <v>206</v>
      </c>
      <c r="E999" s="6" t="n">
        <v>1000</v>
      </c>
      <c r="F999" s="7" t="n">
        <v>2</v>
      </c>
      <c r="G999" s="6" t="n">
        <v>64.82</v>
      </c>
      <c r="H999" s="6" t="n">
        <v>17</v>
      </c>
      <c r="I999" s="6" t="n">
        <v>129.64</v>
      </c>
      <c r="J999" s="6" t="n">
        <v>112.64</v>
      </c>
    </row>
    <row collapsed="false" customFormat="false" customHeight="false" hidden="false" ht="12.1" outlineLevel="0" r="1000">
      <c r="A1000" s="35" t="n">
        <v>46497</v>
      </c>
      <c r="B1000" s="16" t="s">
        <v>1375</v>
      </c>
      <c r="C1000" s="16" t="s">
        <v>169</v>
      </c>
      <c r="D1000" s="16" t="s">
        <v>170</v>
      </c>
      <c r="E1000" s="6" t="n">
        <v>1000</v>
      </c>
      <c r="F1000" s="7" t="n">
        <v>3</v>
      </c>
      <c r="G1000" s="6" t="n">
        <v>62.33</v>
      </c>
      <c r="H1000" s="6" t="n">
        <v>24</v>
      </c>
      <c r="I1000" s="6" t="n">
        <v>186.99</v>
      </c>
      <c r="J1000" s="6" t="n">
        <v>162.99</v>
      </c>
    </row>
    <row collapsed="false" customFormat="false" customHeight="false" hidden="false" ht="12.1" outlineLevel="0" r="1001">
      <c r="A1001" s="35" t="n">
        <v>46497</v>
      </c>
      <c r="B1001" s="16" t="s">
        <v>1375</v>
      </c>
      <c r="C1001" s="16" t="s">
        <v>208</v>
      </c>
      <c r="D1001" s="16" t="s">
        <v>209</v>
      </c>
      <c r="E1001" s="6" t="n">
        <v>1000</v>
      </c>
      <c r="F1001" s="7" t="n">
        <v>2</v>
      </c>
      <c r="G1001" s="6" t="n">
        <v>64.82</v>
      </c>
      <c r="H1001" s="6" t="n">
        <v>17</v>
      </c>
      <c r="I1001" s="6" t="n">
        <v>129.64</v>
      </c>
      <c r="J1001" s="6" t="n">
        <v>112.64</v>
      </c>
    </row>
    <row collapsed="false" customFormat="false" customHeight="false" hidden="false" ht="12.1" outlineLevel="0" r="1002">
      <c r="A1002" s="35" t="n">
        <v>46499</v>
      </c>
      <c r="B1002" s="16" t="s">
        <v>1375</v>
      </c>
      <c r="C1002" s="16" t="s">
        <v>193</v>
      </c>
      <c r="D1002" s="16" t="s">
        <v>194</v>
      </c>
      <c r="E1002" s="6" t="n">
        <v>1000</v>
      </c>
      <c r="F1002" s="7" t="n">
        <v>2</v>
      </c>
      <c r="G1002" s="6" t="n">
        <v>12.95</v>
      </c>
      <c r="H1002" s="6" t="n">
        <v>3</v>
      </c>
      <c r="I1002" s="6" t="n">
        <v>25.9</v>
      </c>
      <c r="J1002" s="6" t="n">
        <v>22.9</v>
      </c>
    </row>
    <row collapsed="false" customFormat="false" customHeight="false" hidden="false" ht="12.1" outlineLevel="0" r="1003">
      <c r="A1003" s="35" t="n">
        <v>46501</v>
      </c>
      <c r="B1003" s="16" t="s">
        <v>1375</v>
      </c>
      <c r="C1003" s="16" t="s">
        <v>181</v>
      </c>
      <c r="D1003" s="16" t="s">
        <v>182</v>
      </c>
      <c r="E1003" s="6" t="n">
        <v>1000</v>
      </c>
      <c r="F1003" s="7" t="n">
        <v>2</v>
      </c>
      <c r="G1003" s="6" t="n">
        <v>13.15</v>
      </c>
      <c r="H1003" s="6" t="n">
        <v>3</v>
      </c>
      <c r="I1003" s="6" t="n">
        <v>26.3</v>
      </c>
      <c r="J1003" s="6" t="n">
        <v>23.3</v>
      </c>
    </row>
    <row collapsed="false" customFormat="false" customHeight="false" hidden="false" ht="12.1" outlineLevel="0" r="1004">
      <c r="A1004" s="35" t="n">
        <v>46503</v>
      </c>
      <c r="B1004" s="16" t="s">
        <v>1375</v>
      </c>
      <c r="C1004" s="16" t="s">
        <v>226</v>
      </c>
      <c r="D1004" s="16" t="s">
        <v>227</v>
      </c>
      <c r="E1004" s="6" t="n">
        <v>875</v>
      </c>
      <c r="F1004" s="7" t="n">
        <v>2</v>
      </c>
      <c r="G1004" s="6" t="n">
        <v>10.94</v>
      </c>
      <c r="H1004" s="6" t="n">
        <v>3</v>
      </c>
      <c r="I1004" s="6" t="n">
        <v>21.88</v>
      </c>
      <c r="J1004" s="6" t="n">
        <v>18.88</v>
      </c>
    </row>
    <row collapsed="false" customFormat="false" customHeight="false" hidden="false" ht="12.1" outlineLevel="0" r="1005">
      <c r="A1005" s="35" t="n">
        <v>46503</v>
      </c>
      <c r="B1005" s="16" t="s">
        <v>1375</v>
      </c>
      <c r="C1005" s="16" t="s">
        <v>232</v>
      </c>
      <c r="D1005" s="16" t="s">
        <v>233</v>
      </c>
      <c r="E1005" s="6" t="n">
        <v>1000</v>
      </c>
      <c r="F1005" s="7" t="n">
        <v>2</v>
      </c>
      <c r="G1005" s="6" t="n">
        <v>1.64</v>
      </c>
      <c r="H1005" s="6" t="n">
        <v>0</v>
      </c>
      <c r="I1005" s="6" t="n">
        <v>3.28</v>
      </c>
      <c r="J1005" s="6" t="n">
        <v>3.28</v>
      </c>
    </row>
    <row collapsed="false" customFormat="false" customHeight="false" hidden="false" ht="12.1" outlineLevel="0" r="1006">
      <c r="A1006" s="35" t="n">
        <v>46503</v>
      </c>
      <c r="B1006" s="16" t="s">
        <v>1375</v>
      </c>
      <c r="C1006" s="16" t="s">
        <v>290</v>
      </c>
      <c r="D1006" s="16" t="s">
        <v>291</v>
      </c>
      <c r="E1006" s="6" t="n">
        <v>1000</v>
      </c>
      <c r="F1006" s="7" t="n">
        <v>1</v>
      </c>
      <c r="G1006" s="6" t="n">
        <v>28.22</v>
      </c>
      <c r="H1006" s="6" t="n">
        <v>4</v>
      </c>
      <c r="I1006" s="6" t="n">
        <v>28.22</v>
      </c>
      <c r="J1006" s="6" t="n">
        <v>24.22</v>
      </c>
    </row>
    <row collapsed="false" customFormat="false" customHeight="false" hidden="false" ht="12.1" outlineLevel="0" r="1007">
      <c r="A1007" s="35" t="n">
        <v>46504</v>
      </c>
      <c r="B1007" s="16" t="s">
        <v>1375</v>
      </c>
      <c r="C1007" s="16" t="s">
        <v>234</v>
      </c>
      <c r="D1007" s="16" t="s">
        <v>235</v>
      </c>
      <c r="E1007" s="6" t="n">
        <v>1000</v>
      </c>
      <c r="F1007" s="7" t="n">
        <v>1</v>
      </c>
      <c r="G1007" s="6" t="n">
        <v>19.11</v>
      </c>
      <c r="H1007" s="6" t="n">
        <v>2</v>
      </c>
      <c r="I1007" s="6" t="n">
        <v>19.11</v>
      </c>
      <c r="J1007" s="6" t="n">
        <v>17.11</v>
      </c>
    </row>
    <row collapsed="false" customFormat="false" customHeight="false" hidden="false" ht="12.1" outlineLevel="0" r="1008">
      <c r="A1008" s="35" t="n">
        <v>46506</v>
      </c>
      <c r="B1008" s="16" t="s">
        <v>1375</v>
      </c>
      <c r="C1008" s="16" t="s">
        <v>284</v>
      </c>
      <c r="D1008" s="16" t="s">
        <v>285</v>
      </c>
      <c r="E1008" s="6" t="n">
        <v>1000</v>
      </c>
      <c r="F1008" s="7" t="n">
        <v>1</v>
      </c>
      <c r="G1008" s="6" t="n">
        <v>59.19</v>
      </c>
      <c r="H1008" s="6" t="n">
        <v>8</v>
      </c>
      <c r="I1008" s="6" t="n">
        <v>59.19</v>
      </c>
      <c r="J1008" s="6" t="n">
        <v>51.19</v>
      </c>
    </row>
    <row collapsed="false" customFormat="false" customHeight="false" hidden="false" ht="12.1" outlineLevel="0" r="1009">
      <c r="A1009" s="35" t="n">
        <v>46512</v>
      </c>
      <c r="B1009" s="16" t="s">
        <v>1375</v>
      </c>
      <c r="C1009" s="16" t="s">
        <v>254</v>
      </c>
      <c r="D1009" s="16" t="s">
        <v>255</v>
      </c>
      <c r="E1009" s="6" t="n">
        <v>1000</v>
      </c>
      <c r="F1009" s="7" t="n">
        <v>1</v>
      </c>
      <c r="G1009" s="6" t="n">
        <v>11.38</v>
      </c>
      <c r="H1009" s="6" t="n">
        <v>1</v>
      </c>
      <c r="I1009" s="6" t="n">
        <v>11.38</v>
      </c>
      <c r="J1009" s="6" t="n">
        <v>10.38</v>
      </c>
    </row>
    <row collapsed="false" customFormat="false" customHeight="false" hidden="false" ht="12.1" outlineLevel="0" r="1010">
      <c r="A1010" s="35" t="n">
        <v>46513</v>
      </c>
      <c r="B1010" s="16" t="s">
        <v>1375</v>
      </c>
      <c r="C1010" s="16" t="s">
        <v>223</v>
      </c>
      <c r="D1010" s="16" t="s">
        <v>224</v>
      </c>
      <c r="E1010" s="6" t="n">
        <v>1000</v>
      </c>
      <c r="F1010" s="7" t="n">
        <v>2</v>
      </c>
      <c r="G1010" s="6" t="n">
        <v>45.38</v>
      </c>
      <c r="H1010" s="6" t="n">
        <v>12</v>
      </c>
      <c r="I1010" s="6" t="n">
        <v>90.76</v>
      </c>
      <c r="J1010" s="6" t="n">
        <v>78.76</v>
      </c>
    </row>
    <row collapsed="false" customFormat="false" customHeight="false" hidden="false" ht="12.1" outlineLevel="0" r="1011">
      <c r="A1011" s="35" t="n">
        <v>46518</v>
      </c>
      <c r="B1011" s="16" t="s">
        <v>1375</v>
      </c>
      <c r="C1011" s="16" t="s">
        <v>109</v>
      </c>
      <c r="D1011" s="16" t="s">
        <v>110</v>
      </c>
      <c r="E1011" s="6" t="n">
        <v>1000</v>
      </c>
      <c r="F1011" s="7" t="n">
        <v>11</v>
      </c>
      <c r="G1011" s="6" t="n">
        <v>99.18</v>
      </c>
      <c r="H1011" s="6" t="n">
        <v>142</v>
      </c>
      <c r="I1011" s="6" t="n">
        <v>1090.98</v>
      </c>
      <c r="J1011" s="6" t="n">
        <v>948.98</v>
      </c>
    </row>
    <row collapsed="false" customFormat="false" customHeight="false" hidden="false" ht="12.1" outlineLevel="0" r="1012">
      <c r="A1012" s="35" t="n">
        <v>46518</v>
      </c>
      <c r="B1012" s="16" t="s">
        <v>1375</v>
      </c>
      <c r="C1012" s="16" t="s">
        <v>246</v>
      </c>
      <c r="D1012" s="16" t="s">
        <v>247</v>
      </c>
      <c r="E1012" s="6" t="n">
        <v>1000</v>
      </c>
      <c r="F1012" s="7" t="n">
        <v>1</v>
      </c>
      <c r="G1012" s="6" t="n">
        <v>20.96</v>
      </c>
      <c r="H1012" s="6" t="n">
        <v>3</v>
      </c>
      <c r="I1012" s="6" t="n">
        <v>20.96</v>
      </c>
      <c r="J1012" s="6" t="n">
        <v>17.96</v>
      </c>
    </row>
    <row collapsed="false" customFormat="false" customHeight="false" hidden="false" ht="12.1" outlineLevel="0" r="1013">
      <c r="A1013" s="35" t="n">
        <v>46522</v>
      </c>
      <c r="B1013" s="16" t="s">
        <v>1375</v>
      </c>
      <c r="C1013" s="16" t="s">
        <v>190</v>
      </c>
      <c r="D1013" s="16" t="s">
        <v>191</v>
      </c>
      <c r="E1013" s="6" t="n">
        <v>1000</v>
      </c>
      <c r="F1013" s="7" t="n">
        <v>2</v>
      </c>
      <c r="G1013" s="6" t="n">
        <v>13.77</v>
      </c>
      <c r="H1013" s="6" t="n">
        <v>4</v>
      </c>
      <c r="I1013" s="6" t="n">
        <v>27.54</v>
      </c>
      <c r="J1013" s="6" t="n">
        <v>23.54</v>
      </c>
    </row>
    <row collapsed="false" customFormat="false" customHeight="false" hidden="false" ht="12.1" outlineLevel="0" r="1014">
      <c r="A1014" s="35" t="n">
        <v>46523</v>
      </c>
      <c r="B1014" s="16" t="s">
        <v>1375</v>
      </c>
      <c r="C1014" s="16" t="s">
        <v>263</v>
      </c>
      <c r="D1014" s="16" t="s">
        <v>264</v>
      </c>
      <c r="E1014" s="6" t="n">
        <v>1000</v>
      </c>
      <c r="F1014" s="7" t="n">
        <v>1</v>
      </c>
      <c r="G1014" s="6" t="n">
        <v>12.66</v>
      </c>
      <c r="H1014" s="6" t="n">
        <v>2</v>
      </c>
      <c r="I1014" s="6" t="n">
        <v>12.66</v>
      </c>
      <c r="J1014" s="6" t="n">
        <v>10.66</v>
      </c>
    </row>
    <row collapsed="false" customFormat="false" customHeight="false" hidden="false" ht="12.1" outlineLevel="0" r="1015">
      <c r="A1015" s="35" t="n">
        <v>46524</v>
      </c>
      <c r="B1015" s="16" t="s">
        <v>1375</v>
      </c>
      <c r="C1015" s="16" t="s">
        <v>243</v>
      </c>
      <c r="D1015" s="16" t="s">
        <v>244</v>
      </c>
      <c r="E1015" s="6" t="n">
        <v>1000</v>
      </c>
      <c r="F1015" s="7" t="n">
        <v>1</v>
      </c>
      <c r="G1015" s="6" t="n">
        <v>14.79</v>
      </c>
      <c r="H1015" s="6" t="n">
        <v>2</v>
      </c>
      <c r="I1015" s="6" t="n">
        <v>14.79</v>
      </c>
      <c r="J1015" s="6" t="n">
        <v>12.79</v>
      </c>
    </row>
    <row collapsed="false" customFormat="false" customHeight="false" hidden="false" ht="12.1" outlineLevel="0" r="1016">
      <c r="A1016" s="35" t="n">
        <v>46525</v>
      </c>
      <c r="B1016" s="16" t="s">
        <v>1375</v>
      </c>
      <c r="C1016" s="16" t="s">
        <v>139</v>
      </c>
      <c r="D1016" s="16" t="s">
        <v>140</v>
      </c>
      <c r="E1016" s="6" t="n">
        <v>1242.73</v>
      </c>
      <c r="F1016" s="7" t="n">
        <v>6</v>
      </c>
      <c r="G1016" s="6" t="n">
        <v>15.55</v>
      </c>
      <c r="H1016" s="6" t="n">
        <v>12</v>
      </c>
      <c r="I1016" s="6" t="n">
        <v>93.3</v>
      </c>
      <c r="J1016" s="6" t="n">
        <v>81.3</v>
      </c>
    </row>
    <row collapsed="false" customFormat="false" customHeight="false" hidden="false" ht="12.1" outlineLevel="0" r="1017">
      <c r="A1017" s="35" t="n">
        <v>46525</v>
      </c>
      <c r="B1017" s="16" t="s">
        <v>1375</v>
      </c>
      <c r="C1017" s="16" t="s">
        <v>249</v>
      </c>
      <c r="D1017" s="16" t="s">
        <v>250</v>
      </c>
      <c r="E1017" s="6" t="n">
        <v>1000</v>
      </c>
      <c r="F1017" s="7" t="n">
        <v>1</v>
      </c>
      <c r="G1017" s="6" t="n">
        <v>11.42</v>
      </c>
      <c r="H1017" s="6" t="n">
        <v>1</v>
      </c>
      <c r="I1017" s="6" t="n">
        <v>11.42</v>
      </c>
      <c r="J1017" s="6" t="n">
        <v>10.42</v>
      </c>
    </row>
    <row collapsed="false" customFormat="false" customHeight="false" hidden="false" ht="12.1" outlineLevel="0" r="1018">
      <c r="A1018" s="35" t="n">
        <v>46525</v>
      </c>
      <c r="B1018" s="16" t="s">
        <v>1375</v>
      </c>
      <c r="C1018" s="16" t="s">
        <v>252</v>
      </c>
      <c r="D1018" s="16" t="s">
        <v>253</v>
      </c>
      <c r="E1018" s="6" t="n">
        <v>1000</v>
      </c>
      <c r="F1018" s="7" t="n">
        <v>1</v>
      </c>
      <c r="G1018" s="6" t="n">
        <v>9.74</v>
      </c>
      <c r="H1018" s="6" t="n">
        <v>1</v>
      </c>
      <c r="I1018" s="6" t="n">
        <v>9.74</v>
      </c>
      <c r="J1018" s="6" t="n">
        <v>8.74</v>
      </c>
    </row>
    <row collapsed="false" customFormat="false" customHeight="false" hidden="false" ht="12.1" outlineLevel="0" r="1019">
      <c r="A1019" s="35" t="n">
        <v>46525</v>
      </c>
      <c r="B1019" s="16" t="s">
        <v>1375</v>
      </c>
      <c r="C1019" s="16" t="s">
        <v>136</v>
      </c>
      <c r="D1019" s="16" t="s">
        <v>137</v>
      </c>
      <c r="E1019" s="6" t="n">
        <v>1000</v>
      </c>
      <c r="F1019" s="7" t="n">
        <v>14</v>
      </c>
      <c r="G1019" s="6" t="n">
        <v>36.15</v>
      </c>
      <c r="H1019" s="6" t="n">
        <v>66</v>
      </c>
      <c r="I1019" s="6" t="n">
        <v>506.1</v>
      </c>
      <c r="J1019" s="6" t="n">
        <v>440.1</v>
      </c>
    </row>
    <row collapsed="false" customFormat="false" customHeight="false" hidden="false" ht="12.1" outlineLevel="0" r="1020">
      <c r="A1020" s="35" t="n">
        <v>46526</v>
      </c>
      <c r="B1020" s="16" t="s">
        <v>1375</v>
      </c>
      <c r="C1020" s="16" t="s">
        <v>331</v>
      </c>
      <c r="D1020" s="16" t="s">
        <v>332</v>
      </c>
      <c r="E1020" s="6" t="n">
        <v>250</v>
      </c>
      <c r="F1020" s="7" t="n">
        <v>1</v>
      </c>
      <c r="G1020" s="6" t="n">
        <v>2.17</v>
      </c>
      <c r="H1020" s="6" t="n">
        <v>0</v>
      </c>
      <c r="I1020" s="6" t="n">
        <v>2.17</v>
      </c>
      <c r="J1020" s="6" t="n">
        <v>2.17</v>
      </c>
    </row>
    <row collapsed="false" customFormat="false" customHeight="false" hidden="false" ht="12.1" outlineLevel="0" r="1021">
      <c r="A1021" s="35" t="n">
        <v>46526</v>
      </c>
      <c r="B1021" s="16" t="s">
        <v>1375</v>
      </c>
      <c r="C1021" s="16" t="s">
        <v>184</v>
      </c>
      <c r="D1021" s="16" t="s">
        <v>185</v>
      </c>
      <c r="E1021" s="6" t="n">
        <v>1000</v>
      </c>
      <c r="F1021" s="7" t="n">
        <v>2</v>
      </c>
      <c r="G1021" s="6" t="n">
        <v>13.68</v>
      </c>
      <c r="H1021" s="6" t="n">
        <v>4</v>
      </c>
      <c r="I1021" s="6" t="n">
        <v>27.36</v>
      </c>
      <c r="J1021" s="6" t="n">
        <v>23.36</v>
      </c>
    </row>
    <row collapsed="false" customFormat="false" customHeight="false" hidden="false" ht="12.1" outlineLevel="0" r="1022">
      <c r="A1022" s="35" t="n">
        <v>46526</v>
      </c>
      <c r="B1022" s="16" t="s">
        <v>1375</v>
      </c>
      <c r="C1022" s="16" t="s">
        <v>187</v>
      </c>
      <c r="D1022" s="16" t="s">
        <v>188</v>
      </c>
      <c r="E1022" s="6" t="n">
        <v>1000</v>
      </c>
      <c r="F1022" s="7" t="n">
        <v>2</v>
      </c>
      <c r="G1022" s="6" t="n">
        <v>39.87</v>
      </c>
      <c r="H1022" s="6" t="n">
        <v>10</v>
      </c>
      <c r="I1022" s="6" t="n">
        <v>79.74</v>
      </c>
      <c r="J1022" s="6" t="n">
        <v>69.74</v>
      </c>
    </row>
    <row collapsed="false" customFormat="false" customHeight="false" hidden="false" ht="12.1" outlineLevel="0" r="1023">
      <c r="A1023" s="35" t="n">
        <v>46529</v>
      </c>
      <c r="B1023" s="16" t="s">
        <v>1375</v>
      </c>
      <c r="C1023" s="16" t="s">
        <v>193</v>
      </c>
      <c r="D1023" s="16" t="s">
        <v>194</v>
      </c>
      <c r="E1023" s="6" t="n">
        <v>1000</v>
      </c>
      <c r="F1023" s="7" t="n">
        <v>2</v>
      </c>
      <c r="G1023" s="6" t="n">
        <v>12.95</v>
      </c>
      <c r="H1023" s="6" t="n">
        <v>3</v>
      </c>
      <c r="I1023" s="6" t="n">
        <v>25.9</v>
      </c>
      <c r="J1023" s="6" t="n">
        <v>22.9</v>
      </c>
    </row>
    <row collapsed="false" customFormat="false" customHeight="false" hidden="false" ht="12.1" outlineLevel="0" r="1024">
      <c r="A1024" s="35" t="n">
        <v>46531</v>
      </c>
      <c r="B1024" s="16" t="s">
        <v>1375</v>
      </c>
      <c r="C1024" s="16" t="s">
        <v>181</v>
      </c>
      <c r="D1024" s="16" t="s">
        <v>182</v>
      </c>
      <c r="E1024" s="6" t="n">
        <v>1000</v>
      </c>
      <c r="F1024" s="7" t="n">
        <v>2</v>
      </c>
      <c r="G1024" s="6" t="n">
        <v>13.15</v>
      </c>
      <c r="H1024" s="6" t="n">
        <v>3</v>
      </c>
      <c r="I1024" s="6" t="n">
        <v>26.3</v>
      </c>
      <c r="J1024" s="6" t="n">
        <v>23.3</v>
      </c>
    </row>
    <row collapsed="false" customFormat="false" customHeight="false" hidden="false" ht="12.1" outlineLevel="0" r="1025">
      <c r="A1025" s="35" t="n">
        <v>46531</v>
      </c>
      <c r="B1025" s="16" t="s">
        <v>1375</v>
      </c>
      <c r="C1025" s="16" t="s">
        <v>172</v>
      </c>
      <c r="D1025" s="16" t="s">
        <v>173</v>
      </c>
      <c r="E1025" s="6" t="n">
        <v>1000</v>
      </c>
      <c r="F1025" s="7" t="n">
        <v>3</v>
      </c>
      <c r="G1025" s="6" t="n">
        <v>24.93</v>
      </c>
      <c r="H1025" s="6" t="n">
        <v>10</v>
      </c>
      <c r="I1025" s="6" t="n">
        <v>74.79</v>
      </c>
      <c r="J1025" s="6" t="n">
        <v>64.79</v>
      </c>
    </row>
    <row collapsed="false" customFormat="false" customHeight="false" hidden="false" ht="12.1" outlineLevel="0" r="1026">
      <c r="A1026" s="35" t="n">
        <v>46532</v>
      </c>
      <c r="B1026" s="16" t="s">
        <v>1375</v>
      </c>
      <c r="C1026" s="16" t="s">
        <v>118</v>
      </c>
      <c r="D1026" s="16" t="s">
        <v>119</v>
      </c>
      <c r="E1026" s="6" t="n">
        <v>1000</v>
      </c>
      <c r="F1026" s="7" t="n">
        <v>14</v>
      </c>
      <c r="G1026" s="6" t="n">
        <v>47.37</v>
      </c>
      <c r="H1026" s="6" t="n">
        <v>86</v>
      </c>
      <c r="I1026" s="6" t="n">
        <v>663.18</v>
      </c>
      <c r="J1026" s="6" t="n">
        <v>577.18</v>
      </c>
    </row>
    <row collapsed="false" customFormat="false" customHeight="false" hidden="false" ht="12.1" outlineLevel="0" r="1027">
      <c r="A1027" s="35" t="n">
        <v>46532</v>
      </c>
      <c r="B1027" s="16" t="s">
        <v>1375</v>
      </c>
      <c r="C1027" s="16" t="s">
        <v>115</v>
      </c>
      <c r="D1027" s="16" t="s">
        <v>116</v>
      </c>
      <c r="E1027" s="6" t="n">
        <v>1000</v>
      </c>
      <c r="F1027" s="7" t="n">
        <v>13</v>
      </c>
      <c r="G1027" s="6" t="n">
        <v>61.08</v>
      </c>
      <c r="H1027" s="6" t="n">
        <v>103</v>
      </c>
      <c r="I1027" s="6" t="n">
        <v>794.04</v>
      </c>
      <c r="J1027" s="6" t="n">
        <v>691.04</v>
      </c>
    </row>
    <row collapsed="false" customFormat="false" customHeight="false" hidden="false" ht="12.1" outlineLevel="0" r="1028">
      <c r="A1028" s="35" t="n">
        <v>46533</v>
      </c>
      <c r="B1028" s="16" t="s">
        <v>1375</v>
      </c>
      <c r="C1028" s="16" t="s">
        <v>232</v>
      </c>
      <c r="D1028" s="16" t="s">
        <v>233</v>
      </c>
      <c r="E1028" s="6" t="n">
        <v>1000</v>
      </c>
      <c r="F1028" s="7" t="n">
        <v>2</v>
      </c>
      <c r="G1028" s="6" t="n">
        <v>1.64</v>
      </c>
      <c r="H1028" s="6" t="n">
        <v>0</v>
      </c>
      <c r="I1028" s="6" t="n">
        <v>3.28</v>
      </c>
      <c r="J1028" s="6" t="n">
        <v>3.28</v>
      </c>
    </row>
    <row collapsed="false" customFormat="false" customHeight="false" hidden="false" ht="12.1" outlineLevel="0" r="1029">
      <c r="A1029" s="35" t="n">
        <v>46534</v>
      </c>
      <c r="B1029" s="16" t="s">
        <v>1375</v>
      </c>
      <c r="C1029" s="16" t="s">
        <v>234</v>
      </c>
      <c r="D1029" s="16" t="s">
        <v>235</v>
      </c>
      <c r="E1029" s="6" t="n">
        <v>1000</v>
      </c>
      <c r="F1029" s="7" t="n">
        <v>1</v>
      </c>
      <c r="G1029" s="6" t="n">
        <v>19.11</v>
      </c>
      <c r="H1029" s="6" t="n">
        <v>2</v>
      </c>
      <c r="I1029" s="6" t="n">
        <v>19.11</v>
      </c>
      <c r="J1029" s="6" t="n">
        <v>17.11</v>
      </c>
    </row>
    <row collapsed="false" customFormat="false" customHeight="false" hidden="false" ht="12.1" outlineLevel="0" r="1030">
      <c r="A1030" s="35" t="n">
        <v>46537</v>
      </c>
      <c r="B1030" s="16" t="s">
        <v>1375</v>
      </c>
      <c r="C1030" s="16" t="s">
        <v>314</v>
      </c>
      <c r="D1030" s="16" t="s">
        <v>315</v>
      </c>
      <c r="E1030" s="6" t="n">
        <v>1000</v>
      </c>
      <c r="F1030" s="7" t="n">
        <v>1</v>
      </c>
      <c r="G1030" s="6" t="n">
        <v>25.68</v>
      </c>
      <c r="H1030" s="6" t="n">
        <v>3</v>
      </c>
      <c r="I1030" s="6" t="n">
        <v>25.68</v>
      </c>
      <c r="J1030" s="6" t="n">
        <v>22.68</v>
      </c>
    </row>
    <row collapsed="false" customFormat="false" customHeight="false" hidden="false" ht="12.1" outlineLevel="0" r="1031">
      <c r="A1031" s="35" t="n">
        <v>46538</v>
      </c>
      <c r="B1031" s="16" t="s">
        <v>1375</v>
      </c>
      <c r="C1031" s="16" t="s">
        <v>211</v>
      </c>
      <c r="D1031" s="16" t="s">
        <v>212</v>
      </c>
      <c r="E1031" s="6" t="n">
        <v>1000</v>
      </c>
      <c r="F1031" s="7" t="n">
        <v>2</v>
      </c>
      <c r="G1031" s="6" t="n">
        <v>56.1</v>
      </c>
      <c r="H1031" s="6" t="n">
        <v>15</v>
      </c>
      <c r="I1031" s="6" t="n">
        <v>112.2</v>
      </c>
      <c r="J1031" s="6" t="n">
        <v>97.2</v>
      </c>
    </row>
    <row collapsed="false" customFormat="false" customHeight="false" hidden="false" ht="12.1" outlineLevel="0" r="1032">
      <c r="A1032" s="35" t="n">
        <v>46539</v>
      </c>
      <c r="B1032" s="16" t="s">
        <v>1375</v>
      </c>
      <c r="C1032" s="16" t="s">
        <v>94</v>
      </c>
      <c r="D1032" s="16" t="s">
        <v>95</v>
      </c>
      <c r="E1032" s="6" t="n">
        <v>1000</v>
      </c>
      <c r="F1032" s="7" t="n">
        <v>23</v>
      </c>
      <c r="G1032" s="6" t="n">
        <v>35.4</v>
      </c>
      <c r="H1032" s="6" t="n">
        <v>106</v>
      </c>
      <c r="I1032" s="6" t="n">
        <v>814.2</v>
      </c>
      <c r="J1032" s="6" t="n">
        <v>708.2</v>
      </c>
    </row>
    <row collapsed="false" customFormat="false" customHeight="false" hidden="false" ht="12.1" outlineLevel="0" r="1033">
      <c r="A1033" s="35" t="n">
        <v>46539</v>
      </c>
      <c r="B1033" s="16" t="s">
        <v>1375</v>
      </c>
      <c r="C1033" s="16" t="s">
        <v>91</v>
      </c>
      <c r="D1033" s="16" t="s">
        <v>92</v>
      </c>
      <c r="E1033" s="6" t="n">
        <v>1000</v>
      </c>
      <c r="F1033" s="7" t="n">
        <v>19</v>
      </c>
      <c r="G1033" s="6" t="n">
        <v>48.87</v>
      </c>
      <c r="H1033" s="6" t="n">
        <v>121</v>
      </c>
      <c r="I1033" s="6" t="n">
        <v>928.53</v>
      </c>
      <c r="J1033" s="6" t="n">
        <v>807.53</v>
      </c>
    </row>
    <row collapsed="false" customFormat="false" customHeight="false" hidden="false" ht="12.1" outlineLevel="0" r="1034">
      <c r="A1034" s="35" t="n">
        <v>46539</v>
      </c>
      <c r="B1034" s="16" t="s">
        <v>1375</v>
      </c>
      <c r="C1034" s="16" t="s">
        <v>320</v>
      </c>
      <c r="D1034" s="16" t="s">
        <v>321</v>
      </c>
      <c r="E1034" s="6" t="n">
        <v>1000</v>
      </c>
      <c r="F1034" s="7" t="n">
        <v>1</v>
      </c>
      <c r="G1034" s="6" t="n">
        <v>19.55</v>
      </c>
      <c r="H1034" s="6" t="n">
        <v>3</v>
      </c>
      <c r="I1034" s="6" t="n">
        <v>19.55</v>
      </c>
      <c r="J1034" s="6" t="n">
        <v>16.55</v>
      </c>
    </row>
    <row collapsed="false" customFormat="false" customHeight="false" hidden="false" ht="12.1" outlineLevel="0" r="1035">
      <c r="A1035" s="35" t="n">
        <v>46539</v>
      </c>
      <c r="B1035" s="16" t="s">
        <v>1375</v>
      </c>
      <c r="C1035" s="16" t="s">
        <v>329</v>
      </c>
      <c r="D1035" s="16" t="s">
        <v>330</v>
      </c>
      <c r="E1035" s="6" t="n">
        <v>1000</v>
      </c>
      <c r="F1035" s="7" t="n">
        <v>1</v>
      </c>
      <c r="G1035" s="6" t="n">
        <v>19.87</v>
      </c>
      <c r="H1035" s="6" t="n">
        <v>3</v>
      </c>
      <c r="I1035" s="6" t="n">
        <v>19.87</v>
      </c>
      <c r="J1035" s="6" t="n">
        <v>16.87</v>
      </c>
    </row>
    <row collapsed="false" customFormat="false" customHeight="false" hidden="false" ht="12.1" outlineLevel="0" r="1036">
      <c r="A1036" s="35" t="n">
        <v>46539</v>
      </c>
      <c r="B1036" s="16" t="s">
        <v>1375</v>
      </c>
      <c r="C1036" s="16" t="s">
        <v>308</v>
      </c>
      <c r="D1036" s="16" t="s">
        <v>309</v>
      </c>
      <c r="E1036" s="6" t="n">
        <v>1000</v>
      </c>
      <c r="F1036" s="7" t="n">
        <v>1</v>
      </c>
      <c r="G1036" s="6" t="n">
        <v>56.84</v>
      </c>
      <c r="H1036" s="6" t="n">
        <v>7</v>
      </c>
      <c r="I1036" s="6" t="n">
        <v>56.84</v>
      </c>
      <c r="J1036" s="6" t="n">
        <v>49.84</v>
      </c>
    </row>
    <row collapsed="false" customFormat="false" customHeight="false" hidden="false" ht="12.1" outlineLevel="0" r="1037">
      <c r="A1037" s="35" t="n">
        <v>46539</v>
      </c>
      <c r="B1037" s="16" t="s">
        <v>1375</v>
      </c>
      <c r="C1037" s="16" t="s">
        <v>100</v>
      </c>
      <c r="D1037" s="16" t="s">
        <v>101</v>
      </c>
      <c r="E1037" s="6" t="n">
        <v>1000</v>
      </c>
      <c r="F1037" s="7" t="n">
        <v>14</v>
      </c>
      <c r="G1037" s="6" t="n">
        <v>61.08</v>
      </c>
      <c r="H1037" s="6" t="n">
        <v>111</v>
      </c>
      <c r="I1037" s="6" t="n">
        <v>855.12</v>
      </c>
      <c r="J1037" s="6" t="n">
        <v>744.12</v>
      </c>
    </row>
    <row collapsed="false" customFormat="false" customHeight="false" hidden="false" ht="12.1" outlineLevel="0" r="1038">
      <c r="A1038" s="35" t="n">
        <v>46542</v>
      </c>
      <c r="B1038" s="16" t="s">
        <v>1375</v>
      </c>
      <c r="C1038" s="16" t="s">
        <v>254</v>
      </c>
      <c r="D1038" s="16" t="s">
        <v>255</v>
      </c>
      <c r="E1038" s="6" t="n">
        <v>1000</v>
      </c>
      <c r="F1038" s="7" t="n">
        <v>1</v>
      </c>
      <c r="G1038" s="6" t="n">
        <v>11.38</v>
      </c>
      <c r="H1038" s="6" t="n">
        <v>1</v>
      </c>
      <c r="I1038" s="6" t="n">
        <v>11.38</v>
      </c>
      <c r="J1038" s="6" t="n">
        <v>10.38</v>
      </c>
    </row>
    <row collapsed="false" customFormat="false" customHeight="false" hidden="false" ht="12.1" outlineLevel="0" r="1039">
      <c r="A1039" s="35" t="n">
        <v>46548</v>
      </c>
      <c r="B1039" s="16" t="s">
        <v>1375</v>
      </c>
      <c r="C1039" s="16" t="s">
        <v>246</v>
      </c>
      <c r="D1039" s="16" t="s">
        <v>247</v>
      </c>
      <c r="E1039" s="6" t="n">
        <v>1000</v>
      </c>
      <c r="F1039" s="7" t="n">
        <v>1</v>
      </c>
      <c r="G1039" s="6" t="n">
        <v>20.96</v>
      </c>
      <c r="H1039" s="6" t="n">
        <v>3</v>
      </c>
      <c r="I1039" s="6" t="n">
        <v>20.96</v>
      </c>
      <c r="J1039" s="6" t="n">
        <v>17.96</v>
      </c>
    </row>
    <row collapsed="false" customFormat="false" customHeight="false" hidden="false" ht="12.1" outlineLevel="0" r="1040">
      <c r="A1040" s="35" t="n">
        <v>46548</v>
      </c>
      <c r="B1040" s="16" t="s">
        <v>1375</v>
      </c>
      <c r="C1040" s="16" t="s">
        <v>229</v>
      </c>
      <c r="D1040" s="16" t="s">
        <v>230</v>
      </c>
      <c r="E1040" s="6" t="n">
        <v>1000</v>
      </c>
      <c r="F1040" s="7" t="n">
        <v>2</v>
      </c>
      <c r="G1040" s="6" t="n">
        <v>17.83</v>
      </c>
      <c r="H1040" s="6" t="n">
        <v>5</v>
      </c>
      <c r="I1040" s="6" t="n">
        <v>35.66</v>
      </c>
      <c r="J1040" s="6" t="n">
        <v>30.66</v>
      </c>
    </row>
    <row collapsed="false" customFormat="false" customHeight="false" hidden="false" ht="12.1" outlineLevel="0" r="1041">
      <c r="A1041" s="35" t="n">
        <v>46552</v>
      </c>
      <c r="B1041" s="16" t="s">
        <v>1375</v>
      </c>
      <c r="C1041" s="16" t="s">
        <v>190</v>
      </c>
      <c r="D1041" s="16" t="s">
        <v>191</v>
      </c>
      <c r="E1041" s="6" t="n">
        <v>1000</v>
      </c>
      <c r="F1041" s="7" t="n">
        <v>2</v>
      </c>
      <c r="G1041" s="6" t="n">
        <v>13.77</v>
      </c>
      <c r="H1041" s="6" t="n">
        <v>4</v>
      </c>
      <c r="I1041" s="6" t="n">
        <v>27.54</v>
      </c>
      <c r="J1041" s="6" t="n">
        <v>23.54</v>
      </c>
    </row>
    <row collapsed="false" customFormat="false" customHeight="false" hidden="false" ht="12.1" outlineLevel="0" r="1042">
      <c r="A1042" s="35" t="n">
        <v>46553</v>
      </c>
      <c r="B1042" s="16" t="s">
        <v>1375</v>
      </c>
      <c r="C1042" s="16" t="s">
        <v>88</v>
      </c>
      <c r="D1042" s="16" t="s">
        <v>89</v>
      </c>
      <c r="E1042" s="6" t="n">
        <v>1000</v>
      </c>
      <c r="F1042" s="7" t="n">
        <v>14</v>
      </c>
      <c r="G1042" s="6" t="n">
        <v>95.44</v>
      </c>
      <c r="H1042" s="6" t="n">
        <v>174</v>
      </c>
      <c r="I1042" s="6" t="n">
        <v>1336.16</v>
      </c>
      <c r="J1042" s="6" t="n">
        <v>1162.16</v>
      </c>
    </row>
    <row collapsed="false" customFormat="false" customHeight="false" hidden="false" ht="12.1" outlineLevel="0" r="1043">
      <c r="A1043" s="35" t="n">
        <v>46553</v>
      </c>
      <c r="B1043" s="16" t="s">
        <v>1375</v>
      </c>
      <c r="C1043" s="16" t="s">
        <v>263</v>
      </c>
      <c r="D1043" s="16" t="s">
        <v>264</v>
      </c>
      <c r="E1043" s="6" t="n">
        <v>1000</v>
      </c>
      <c r="F1043" s="7" t="n">
        <v>1</v>
      </c>
      <c r="G1043" s="6" t="n">
        <v>12.66</v>
      </c>
      <c r="H1043" s="6" t="n">
        <v>2</v>
      </c>
      <c r="I1043" s="6" t="n">
        <v>12.66</v>
      </c>
      <c r="J1043" s="6" t="n">
        <v>10.66</v>
      </c>
    </row>
    <row collapsed="false" customFormat="false" customHeight="false" hidden="false" ht="12.1" outlineLevel="0" r="1044">
      <c r="A1044" s="35" t="n">
        <v>46554</v>
      </c>
      <c r="B1044" s="16" t="s">
        <v>1375</v>
      </c>
      <c r="C1044" s="16" t="s">
        <v>243</v>
      </c>
      <c r="D1044" s="16" t="s">
        <v>244</v>
      </c>
      <c r="E1044" s="6" t="n">
        <v>1000</v>
      </c>
      <c r="F1044" s="7" t="n">
        <v>1</v>
      </c>
      <c r="G1044" s="6" t="n">
        <v>14.79</v>
      </c>
      <c r="H1044" s="6" t="n">
        <v>2</v>
      </c>
      <c r="I1044" s="6" t="n">
        <v>14.79</v>
      </c>
      <c r="J1044" s="6" t="n">
        <v>12.79</v>
      </c>
    </row>
    <row collapsed="false" customFormat="false" customHeight="false" hidden="false" ht="12.1" outlineLevel="0" r="1045">
      <c r="A1045" s="35" t="n">
        <v>46555</v>
      </c>
      <c r="B1045" s="16" t="s">
        <v>1375</v>
      </c>
      <c r="C1045" s="16" t="s">
        <v>252</v>
      </c>
      <c r="D1045" s="16" t="s">
        <v>253</v>
      </c>
      <c r="E1045" s="6" t="n">
        <v>1000</v>
      </c>
      <c r="F1045" s="7" t="n">
        <v>1</v>
      </c>
      <c r="G1045" s="6" t="n">
        <v>7.3</v>
      </c>
      <c r="H1045" s="6" t="n">
        <v>1</v>
      </c>
      <c r="I1045" s="6" t="n">
        <v>7.3</v>
      </c>
      <c r="J1045" s="6" t="n">
        <v>6.3</v>
      </c>
    </row>
    <row collapsed="false" customFormat="false" customHeight="false" hidden="false" ht="12.1" outlineLevel="0" r="1046">
      <c r="A1046" s="35" t="n">
        <v>46555</v>
      </c>
      <c r="B1046" s="16" t="s">
        <v>1375</v>
      </c>
      <c r="C1046" s="16" t="s">
        <v>249</v>
      </c>
      <c r="D1046" s="16" t="s">
        <v>250</v>
      </c>
      <c r="E1046" s="6" t="n">
        <v>1000</v>
      </c>
      <c r="F1046" s="7" t="n">
        <v>1</v>
      </c>
      <c r="G1046" s="6" t="n">
        <v>11.42</v>
      </c>
      <c r="H1046" s="6" t="n">
        <v>1</v>
      </c>
      <c r="I1046" s="6" t="n">
        <v>11.42</v>
      </c>
      <c r="J1046" s="6" t="n">
        <v>10.42</v>
      </c>
    </row>
    <row collapsed="false" customFormat="false" customHeight="false" hidden="false" ht="12.1" outlineLevel="0" r="1047">
      <c r="A1047" s="35" t="n">
        <v>46556</v>
      </c>
      <c r="B1047" s="16" t="s">
        <v>1375</v>
      </c>
      <c r="C1047" s="16" t="s">
        <v>184</v>
      </c>
      <c r="D1047" s="16" t="s">
        <v>185</v>
      </c>
      <c r="E1047" s="6" t="n">
        <v>1000</v>
      </c>
      <c r="F1047" s="7" t="n">
        <v>2</v>
      </c>
      <c r="G1047" s="6" t="n">
        <v>13.68</v>
      </c>
      <c r="H1047" s="6" t="n">
        <v>4</v>
      </c>
      <c r="I1047" s="6" t="n">
        <v>27.36</v>
      </c>
      <c r="J1047" s="6" t="n">
        <v>23.36</v>
      </c>
    </row>
    <row collapsed="false" customFormat="false" customHeight="false" hidden="false" ht="12.1" outlineLevel="0" r="1048">
      <c r="A1048" s="35" t="n">
        <v>46559</v>
      </c>
      <c r="B1048" s="16" t="s">
        <v>1375</v>
      </c>
      <c r="C1048" s="16" t="s">
        <v>193</v>
      </c>
      <c r="D1048" s="16" t="s">
        <v>194</v>
      </c>
      <c r="E1048" s="6" t="n">
        <v>1000</v>
      </c>
      <c r="F1048" s="7" t="n">
        <v>2</v>
      </c>
      <c r="G1048" s="6" t="n">
        <v>12.95</v>
      </c>
      <c r="H1048" s="6" t="n">
        <v>3</v>
      </c>
      <c r="I1048" s="6" t="n">
        <v>25.9</v>
      </c>
      <c r="J1048" s="6" t="n">
        <v>22.9</v>
      </c>
    </row>
    <row collapsed="false" customFormat="false" customHeight="false" hidden="false" ht="12.1" outlineLevel="0" r="1049">
      <c r="A1049" s="35" t="n">
        <v>46560</v>
      </c>
      <c r="B1049" s="16" t="s">
        <v>1375</v>
      </c>
      <c r="C1049" s="16" t="s">
        <v>145</v>
      </c>
      <c r="D1049" s="16" t="s">
        <v>146</v>
      </c>
      <c r="E1049" s="6" t="n">
        <v>1000</v>
      </c>
      <c r="F1049" s="7" t="n">
        <v>6</v>
      </c>
      <c r="G1049" s="6" t="n">
        <v>59.84</v>
      </c>
      <c r="H1049" s="6" t="n">
        <v>47</v>
      </c>
      <c r="I1049" s="6" t="n">
        <v>359.04</v>
      </c>
      <c r="J1049" s="6" t="n">
        <v>312.04</v>
      </c>
    </row>
    <row collapsed="false" customFormat="false" customHeight="false" hidden="false" ht="12.1" outlineLevel="0" r="1050">
      <c r="A1050" s="35" t="n">
        <v>46560</v>
      </c>
      <c r="B1050" s="16" t="s">
        <v>1375</v>
      </c>
      <c r="C1050" s="16" t="s">
        <v>148</v>
      </c>
      <c r="D1050" s="16" t="s">
        <v>149</v>
      </c>
      <c r="E1050" s="6" t="n">
        <v>1000</v>
      </c>
      <c r="F1050" s="7" t="n">
        <v>6</v>
      </c>
      <c r="G1050" s="6" t="n">
        <v>54.85</v>
      </c>
      <c r="H1050" s="6" t="n">
        <v>43</v>
      </c>
      <c r="I1050" s="6" t="n">
        <v>329.1</v>
      </c>
      <c r="J1050" s="6" t="n">
        <v>286.1</v>
      </c>
    </row>
    <row collapsed="false" customFormat="false" customHeight="false" hidden="false" ht="12.1" outlineLevel="0" r="1051">
      <c r="A1051" s="35" t="n">
        <v>46561</v>
      </c>
      <c r="B1051" s="16" t="s">
        <v>1375</v>
      </c>
      <c r="C1051" s="16" t="s">
        <v>181</v>
      </c>
      <c r="D1051" s="16" t="s">
        <v>182</v>
      </c>
      <c r="E1051" s="6" t="n">
        <v>1000</v>
      </c>
      <c r="F1051" s="7" t="n">
        <v>2</v>
      </c>
      <c r="G1051" s="6" t="n">
        <v>13.15</v>
      </c>
      <c r="H1051" s="6" t="n">
        <v>3</v>
      </c>
      <c r="I1051" s="6" t="n">
        <v>26.3</v>
      </c>
      <c r="J1051" s="6" t="n">
        <v>23.3</v>
      </c>
    </row>
    <row collapsed="false" customFormat="false" customHeight="false" hidden="false" ht="12.1" outlineLevel="0" r="1052">
      <c r="A1052" s="35" t="n">
        <v>46562</v>
      </c>
      <c r="B1052" s="16" t="s">
        <v>1375</v>
      </c>
      <c r="C1052" s="16" t="s">
        <v>296</v>
      </c>
      <c r="D1052" s="16" t="s">
        <v>297</v>
      </c>
      <c r="E1052" s="6" t="n">
        <v>500</v>
      </c>
      <c r="F1052" s="7" t="n">
        <v>2</v>
      </c>
      <c r="G1052" s="6" t="n">
        <v>6.58</v>
      </c>
      <c r="H1052" s="6" t="n">
        <v>2</v>
      </c>
      <c r="I1052" s="6" t="n">
        <v>13.16</v>
      </c>
      <c r="J1052" s="6" t="n">
        <v>11.16</v>
      </c>
    </row>
    <row collapsed="false" customFormat="false" customHeight="false" hidden="false" ht="12.1" outlineLevel="0" r="1053">
      <c r="A1053" s="35" t="n">
        <v>46563</v>
      </c>
      <c r="B1053" s="16" t="s">
        <v>1375</v>
      </c>
      <c r="C1053" s="16" t="s">
        <v>232</v>
      </c>
      <c r="D1053" s="16" t="s">
        <v>233</v>
      </c>
      <c r="E1053" s="6" t="n">
        <v>1000</v>
      </c>
      <c r="F1053" s="7" t="n">
        <v>2</v>
      </c>
      <c r="G1053" s="6" t="n">
        <v>1.64</v>
      </c>
      <c r="H1053" s="6" t="n">
        <v>0</v>
      </c>
      <c r="I1053" s="6" t="n">
        <v>3.28</v>
      </c>
      <c r="J1053" s="6" t="n">
        <v>3.28</v>
      </c>
    </row>
    <row collapsed="false" customFormat="false" customHeight="false" hidden="false" ht="12.1" outlineLevel="0" r="1054">
      <c r="A1054" s="35" t="n">
        <v>46564</v>
      </c>
      <c r="B1054" s="16" t="s">
        <v>1375</v>
      </c>
      <c r="C1054" s="16" t="s">
        <v>234</v>
      </c>
      <c r="D1054" s="16" t="s">
        <v>235</v>
      </c>
      <c r="E1054" s="6" t="n">
        <v>1000</v>
      </c>
      <c r="F1054" s="7" t="n">
        <v>1</v>
      </c>
      <c r="G1054" s="6" t="n">
        <v>19.11</v>
      </c>
      <c r="H1054" s="6" t="n">
        <v>2</v>
      </c>
      <c r="I1054" s="6" t="n">
        <v>19.11</v>
      </c>
      <c r="J1054" s="6" t="n">
        <v>17.11</v>
      </c>
    </row>
    <row collapsed="false" customFormat="false" customHeight="false" hidden="false" ht="12.1" outlineLevel="0" r="1055">
      <c r="A1055" s="35" t="n">
        <v>46568</v>
      </c>
      <c r="B1055" s="16" t="s">
        <v>1375</v>
      </c>
      <c r="C1055" s="16" t="s">
        <v>311</v>
      </c>
      <c r="D1055" s="16" t="s">
        <v>312</v>
      </c>
      <c r="E1055" s="6" t="n">
        <v>1000</v>
      </c>
      <c r="F1055" s="7" t="n">
        <v>1</v>
      </c>
      <c r="G1055" s="6" t="n">
        <v>44.35</v>
      </c>
      <c r="H1055" s="6" t="n">
        <v>6</v>
      </c>
      <c r="I1055" s="6" t="n">
        <v>44.35</v>
      </c>
      <c r="J1055" s="6" t="n">
        <v>38.35</v>
      </c>
    </row>
    <row collapsed="false" customFormat="false" customHeight="false" hidden="false" ht="12.1" outlineLevel="0" r="1056">
      <c r="A1056" s="35" t="n">
        <v>46572</v>
      </c>
      <c r="B1056" s="16" t="s">
        <v>1375</v>
      </c>
      <c r="C1056" s="16" t="s">
        <v>254</v>
      </c>
      <c r="D1056" s="16" t="s">
        <v>255</v>
      </c>
      <c r="E1056" s="6" t="n">
        <v>1000</v>
      </c>
      <c r="F1056" s="7" t="n">
        <v>1</v>
      </c>
      <c r="G1056" s="6" t="n">
        <v>11.38</v>
      </c>
      <c r="H1056" s="6" t="n">
        <v>1</v>
      </c>
      <c r="I1056" s="6" t="n">
        <v>11.38</v>
      </c>
      <c r="J1056" s="6" t="n">
        <v>10.38</v>
      </c>
    </row>
    <row collapsed="false" customFormat="false" customHeight="false" hidden="false" ht="12.1" outlineLevel="0" r="1057">
      <c r="A1057" s="35" t="n">
        <v>46572</v>
      </c>
      <c r="B1057" s="16" t="s">
        <v>1375</v>
      </c>
      <c r="C1057" s="16" t="s">
        <v>326</v>
      </c>
      <c r="D1057" s="16" t="s">
        <v>327</v>
      </c>
      <c r="E1057" s="6" t="n">
        <v>1000</v>
      </c>
      <c r="F1057" s="7" t="n">
        <v>1</v>
      </c>
      <c r="G1057" s="6" t="n">
        <v>44.88</v>
      </c>
      <c r="H1057" s="6" t="n">
        <v>6</v>
      </c>
      <c r="I1057" s="6" t="n">
        <v>44.88</v>
      </c>
      <c r="J1057" s="6" t="n">
        <v>38.88</v>
      </c>
    </row>
    <row collapsed="false" customFormat="false" customHeight="false" hidden="false" ht="12.1" outlineLevel="0" r="1058">
      <c r="A1058" s="35" t="n">
        <v>46578</v>
      </c>
      <c r="B1058" s="16" t="s">
        <v>1375</v>
      </c>
      <c r="C1058" s="16" t="s">
        <v>246</v>
      </c>
      <c r="D1058" s="16" t="s">
        <v>247</v>
      </c>
      <c r="E1058" s="6" t="n">
        <v>1000</v>
      </c>
      <c r="F1058" s="7" t="n">
        <v>1</v>
      </c>
      <c r="G1058" s="6" t="n">
        <v>20.96</v>
      </c>
      <c r="H1058" s="6" t="n">
        <v>3</v>
      </c>
      <c r="I1058" s="6" t="n">
        <v>20.96</v>
      </c>
      <c r="J1058" s="6" t="n">
        <v>17.96</v>
      </c>
    </row>
    <row collapsed="false" customFormat="false" customHeight="false" hidden="false" ht="12.1" outlineLevel="0" r="1059">
      <c r="A1059" s="35" t="n">
        <v>46580</v>
      </c>
      <c r="B1059" s="16" t="s">
        <v>1375</v>
      </c>
      <c r="C1059" s="16" t="s">
        <v>217</v>
      </c>
      <c r="D1059" s="16" t="s">
        <v>218</v>
      </c>
      <c r="E1059" s="6" t="n">
        <v>1000</v>
      </c>
      <c r="F1059" s="7" t="n">
        <v>2</v>
      </c>
      <c r="G1059" s="6" t="n">
        <v>24.93</v>
      </c>
      <c r="H1059" s="6" t="n">
        <v>6</v>
      </c>
      <c r="I1059" s="6" t="n">
        <v>49.86</v>
      </c>
      <c r="J1059" s="6" t="n">
        <v>43.86</v>
      </c>
    </row>
    <row collapsed="false" customFormat="false" customHeight="false" hidden="false" ht="12.1" outlineLevel="0" r="1060">
      <c r="A1060" s="35" t="n">
        <v>46582</v>
      </c>
      <c r="B1060" s="16" t="s">
        <v>1375</v>
      </c>
      <c r="C1060" s="16" t="s">
        <v>178</v>
      </c>
      <c r="D1060" s="16" t="s">
        <v>179</v>
      </c>
      <c r="E1060" s="6" t="n">
        <v>1000</v>
      </c>
      <c r="F1060" s="7" t="n">
        <v>2</v>
      </c>
      <c r="G1060" s="6" t="n">
        <v>43.13</v>
      </c>
      <c r="H1060" s="6" t="n">
        <v>11</v>
      </c>
      <c r="I1060" s="6" t="n">
        <v>86.26</v>
      </c>
      <c r="J1060" s="6" t="n">
        <v>75.26</v>
      </c>
    </row>
    <row collapsed="false" customFormat="false" customHeight="false" hidden="false" ht="12.1" outlineLevel="0" r="1061">
      <c r="A1061" s="35" t="n">
        <v>46582</v>
      </c>
      <c r="B1061" s="16" t="s">
        <v>1375</v>
      </c>
      <c r="C1061" s="16" t="s">
        <v>190</v>
      </c>
      <c r="D1061" s="16" t="s">
        <v>191</v>
      </c>
      <c r="E1061" s="6" t="n">
        <v>1000</v>
      </c>
      <c r="F1061" s="7" t="n">
        <v>2</v>
      </c>
      <c r="G1061" s="6" t="n">
        <v>13.77</v>
      </c>
      <c r="H1061" s="6" t="n">
        <v>4</v>
      </c>
      <c r="I1061" s="6" t="n">
        <v>27.54</v>
      </c>
      <c r="J1061" s="6" t="n">
        <v>23.54</v>
      </c>
    </row>
    <row collapsed="false" customFormat="false" customHeight="false" hidden="false" ht="12.1" outlineLevel="0" r="1062">
      <c r="A1062" s="35" t="n">
        <v>46582</v>
      </c>
      <c r="B1062" s="16" t="s">
        <v>1375</v>
      </c>
      <c r="C1062" s="16" t="s">
        <v>302</v>
      </c>
      <c r="D1062" s="16" t="s">
        <v>303</v>
      </c>
      <c r="E1062" s="6" t="n">
        <v>1000</v>
      </c>
      <c r="F1062" s="7" t="n">
        <v>1</v>
      </c>
      <c r="G1062" s="6" t="n">
        <v>50.86</v>
      </c>
      <c r="H1062" s="6" t="n">
        <v>7</v>
      </c>
      <c r="I1062" s="6" t="n">
        <v>50.86</v>
      </c>
      <c r="J1062" s="6" t="n">
        <v>43.86</v>
      </c>
    </row>
    <row collapsed="false" customFormat="false" customHeight="false" hidden="false" ht="12.1" outlineLevel="0" r="1063">
      <c r="A1063" s="35" t="n">
        <v>46583</v>
      </c>
      <c r="B1063" s="16" t="s">
        <v>1375</v>
      </c>
      <c r="C1063" s="16" t="s">
        <v>263</v>
      </c>
      <c r="D1063" s="16" t="s">
        <v>264</v>
      </c>
      <c r="E1063" s="6" t="n">
        <v>1000</v>
      </c>
      <c r="F1063" s="7" t="n">
        <v>1</v>
      </c>
      <c r="G1063" s="6" t="n">
        <v>12.66</v>
      </c>
      <c r="H1063" s="6" t="n">
        <v>2</v>
      </c>
      <c r="I1063" s="6" t="n">
        <v>12.66</v>
      </c>
      <c r="J1063" s="6" t="n">
        <v>10.66</v>
      </c>
    </row>
    <row collapsed="false" customFormat="false" customHeight="false" hidden="false" ht="12.1" outlineLevel="0" r="1064">
      <c r="A1064" s="35" t="n">
        <v>46584</v>
      </c>
      <c r="B1064" s="16" t="s">
        <v>1375</v>
      </c>
      <c r="C1064" s="16" t="s">
        <v>243</v>
      </c>
      <c r="D1064" s="16" t="s">
        <v>244</v>
      </c>
      <c r="E1064" s="6" t="n">
        <v>1000</v>
      </c>
      <c r="F1064" s="7" t="n">
        <v>1</v>
      </c>
      <c r="G1064" s="6" t="n">
        <v>14.79</v>
      </c>
      <c r="H1064" s="6" t="n">
        <v>2</v>
      </c>
      <c r="I1064" s="6" t="n">
        <v>14.79</v>
      </c>
      <c r="J1064" s="6" t="n">
        <v>12.79</v>
      </c>
    </row>
    <row collapsed="false" customFormat="false" customHeight="false" hidden="false" ht="12.1" outlineLevel="0" r="1065">
      <c r="A1065" s="35" t="n">
        <v>46585</v>
      </c>
      <c r="B1065" s="16" t="s">
        <v>1375</v>
      </c>
      <c r="C1065" s="16" t="s">
        <v>252</v>
      </c>
      <c r="D1065" s="16" t="s">
        <v>253</v>
      </c>
      <c r="E1065" s="6" t="n">
        <v>1000</v>
      </c>
      <c r="F1065" s="7" t="n">
        <v>1</v>
      </c>
      <c r="G1065" s="6" t="n">
        <v>7.3</v>
      </c>
      <c r="H1065" s="6" t="n">
        <v>1</v>
      </c>
      <c r="I1065" s="6" t="n">
        <v>7.3</v>
      </c>
      <c r="J1065" s="6" t="n">
        <v>6.3</v>
      </c>
    </row>
    <row collapsed="false" customFormat="false" customHeight="false" hidden="false" ht="12.1" outlineLevel="0" r="1066">
      <c r="A1066" s="35" t="n">
        <v>46585</v>
      </c>
      <c r="B1066" s="16" t="s">
        <v>1375</v>
      </c>
      <c r="C1066" s="16" t="s">
        <v>249</v>
      </c>
      <c r="D1066" s="16" t="s">
        <v>250</v>
      </c>
      <c r="E1066" s="6" t="n">
        <v>1000</v>
      </c>
      <c r="F1066" s="7" t="n">
        <v>1</v>
      </c>
      <c r="G1066" s="6" t="n">
        <v>11.42</v>
      </c>
      <c r="H1066" s="6" t="n">
        <v>1</v>
      </c>
      <c r="I1066" s="6" t="n">
        <v>11.42</v>
      </c>
      <c r="J1066" s="6" t="n">
        <v>10.42</v>
      </c>
    </row>
    <row collapsed="false" customFormat="false" customHeight="false" hidden="false" ht="12.1" outlineLevel="0" r="1067">
      <c r="A1067" s="35" t="n">
        <v>46586</v>
      </c>
      <c r="B1067" s="16" t="s">
        <v>1375</v>
      </c>
      <c r="C1067" s="16" t="s">
        <v>214</v>
      </c>
      <c r="D1067" s="16" t="s">
        <v>215</v>
      </c>
      <c r="E1067" s="6" t="n">
        <v>1000</v>
      </c>
      <c r="F1067" s="7" t="n">
        <v>2</v>
      </c>
      <c r="G1067" s="6" t="n">
        <v>54.35</v>
      </c>
      <c r="H1067" s="6" t="n">
        <v>14</v>
      </c>
      <c r="I1067" s="6" t="n">
        <v>108.7</v>
      </c>
      <c r="J1067" s="6" t="n">
        <v>94.7</v>
      </c>
    </row>
    <row collapsed="false" customFormat="false" customHeight="false" hidden="false" ht="12.1" outlineLevel="0" r="1068">
      <c r="A1068" s="35" t="n">
        <v>46586</v>
      </c>
      <c r="B1068" s="16" t="s">
        <v>1375</v>
      </c>
      <c r="C1068" s="16" t="s">
        <v>184</v>
      </c>
      <c r="D1068" s="16" t="s">
        <v>185</v>
      </c>
      <c r="E1068" s="6" t="n">
        <v>1000</v>
      </c>
      <c r="F1068" s="7" t="n">
        <v>2</v>
      </c>
      <c r="G1068" s="6" t="n">
        <v>13.68</v>
      </c>
      <c r="H1068" s="6" t="n">
        <v>4</v>
      </c>
      <c r="I1068" s="6" t="n">
        <v>27.36</v>
      </c>
      <c r="J1068" s="6" t="n">
        <v>23.36</v>
      </c>
    </row>
    <row collapsed="false" customFormat="false" customHeight="false" hidden="false" ht="12.1" outlineLevel="0" r="1069">
      <c r="A1069" s="35" t="n">
        <v>46589</v>
      </c>
      <c r="B1069" s="16" t="s">
        <v>1375</v>
      </c>
      <c r="C1069" s="16" t="s">
        <v>193</v>
      </c>
      <c r="D1069" s="16" t="s">
        <v>194</v>
      </c>
      <c r="E1069" s="6" t="n">
        <v>1000</v>
      </c>
      <c r="F1069" s="7" t="n">
        <v>2</v>
      </c>
      <c r="G1069" s="6" t="n">
        <v>12.95</v>
      </c>
      <c r="H1069" s="6" t="n">
        <v>3</v>
      </c>
      <c r="I1069" s="6" t="n">
        <v>25.9</v>
      </c>
      <c r="J1069" s="6" t="n">
        <v>22.9</v>
      </c>
    </row>
    <row collapsed="false" customFormat="false" customHeight="false" hidden="false" ht="12.1" outlineLevel="0" r="1070">
      <c r="A1070" s="35" t="n">
        <v>46591</v>
      </c>
      <c r="B1070" s="16" t="s">
        <v>1375</v>
      </c>
      <c r="C1070" s="16" t="s">
        <v>181</v>
      </c>
      <c r="D1070" s="16" t="s">
        <v>182</v>
      </c>
      <c r="E1070" s="6" t="n">
        <v>1000</v>
      </c>
      <c r="F1070" s="7" t="n">
        <v>2</v>
      </c>
      <c r="G1070" s="6" t="n">
        <v>13.15</v>
      </c>
      <c r="H1070" s="6" t="n">
        <v>3</v>
      </c>
      <c r="I1070" s="6" t="n">
        <v>26.3</v>
      </c>
      <c r="J1070" s="6" t="n">
        <v>23.3</v>
      </c>
    </row>
    <row collapsed="false" customFormat="false" customHeight="false" hidden="false" ht="12.1" outlineLevel="0" r="1071">
      <c r="A1071" s="35" t="n">
        <v>46593</v>
      </c>
      <c r="B1071" s="16" t="s">
        <v>1375</v>
      </c>
      <c r="C1071" s="16" t="s">
        <v>232</v>
      </c>
      <c r="D1071" s="16" t="s">
        <v>233</v>
      </c>
      <c r="E1071" s="6" t="n">
        <v>1000</v>
      </c>
      <c r="F1071" s="7" t="n">
        <v>2</v>
      </c>
      <c r="G1071" s="6" t="n">
        <v>1.64</v>
      </c>
      <c r="H1071" s="6" t="n">
        <v>0</v>
      </c>
      <c r="I1071" s="6" t="n">
        <v>3.28</v>
      </c>
      <c r="J1071" s="6" t="n">
        <v>3.28</v>
      </c>
    </row>
    <row collapsed="false" customFormat="false" customHeight="false" hidden="false" ht="12.1" outlineLevel="0" r="1072">
      <c r="A1072" s="35" t="n">
        <v>46594</v>
      </c>
      <c r="B1072" s="16" t="s">
        <v>1375</v>
      </c>
      <c r="C1072" s="16" t="s">
        <v>234</v>
      </c>
      <c r="D1072" s="16" t="s">
        <v>235</v>
      </c>
      <c r="E1072" s="6" t="n">
        <v>1000</v>
      </c>
      <c r="F1072" s="7" t="n">
        <v>1</v>
      </c>
      <c r="G1072" s="6" t="n">
        <v>19.11</v>
      </c>
      <c r="H1072" s="6" t="n">
        <v>2</v>
      </c>
      <c r="I1072" s="6" t="n">
        <v>19.11</v>
      </c>
      <c r="J1072" s="6" t="n">
        <v>17.11</v>
      </c>
    </row>
    <row collapsed="false" customFormat="false" customHeight="false" hidden="false" ht="12.1" outlineLevel="0" r="1073">
      <c r="A1073" s="35" t="n">
        <v>46594</v>
      </c>
      <c r="B1073" s="16" t="s">
        <v>1375</v>
      </c>
      <c r="C1073" s="16" t="s">
        <v>290</v>
      </c>
      <c r="D1073" s="16" t="s">
        <v>291</v>
      </c>
      <c r="E1073" s="6" t="n">
        <v>1000</v>
      </c>
      <c r="F1073" s="7" t="n">
        <v>1</v>
      </c>
      <c r="G1073" s="6" t="n">
        <v>28.22</v>
      </c>
      <c r="H1073" s="6" t="n">
        <v>4</v>
      </c>
      <c r="I1073" s="6" t="n">
        <v>28.22</v>
      </c>
      <c r="J1073" s="6" t="n">
        <v>24.22</v>
      </c>
    </row>
    <row collapsed="false" customFormat="false" customHeight="false" hidden="false" ht="12.1" outlineLevel="0" r="1074">
      <c r="A1074" s="35" t="n">
        <v>46594</v>
      </c>
      <c r="B1074" s="16" t="s">
        <v>1375</v>
      </c>
      <c r="C1074" s="16" t="s">
        <v>226</v>
      </c>
      <c r="D1074" s="16" t="s">
        <v>227</v>
      </c>
      <c r="E1074" s="6" t="n">
        <v>875</v>
      </c>
      <c r="F1074" s="7" t="n">
        <v>2</v>
      </c>
      <c r="G1074" s="6" t="n">
        <v>7.29</v>
      </c>
      <c r="H1074" s="6" t="n">
        <v>2</v>
      </c>
      <c r="I1074" s="6" t="n">
        <v>14.58</v>
      </c>
      <c r="J1074" s="6" t="n">
        <v>12.58</v>
      </c>
    </row>
    <row collapsed="false" customFormat="false" customHeight="false" hidden="false" ht="12.1" outlineLevel="0" r="1075">
      <c r="A1075" s="35" t="n">
        <v>46595</v>
      </c>
      <c r="B1075" s="16" t="s">
        <v>1375</v>
      </c>
      <c r="C1075" s="16" t="s">
        <v>84</v>
      </c>
      <c r="D1075" s="16" t="s">
        <v>86</v>
      </c>
      <c r="E1075" s="6" t="n">
        <v>1000</v>
      </c>
      <c r="F1075" s="7" t="n">
        <v>34</v>
      </c>
      <c r="G1075" s="6" t="n">
        <v>30.42</v>
      </c>
      <c r="H1075" s="6" t="n">
        <v>134</v>
      </c>
      <c r="I1075" s="6" t="n">
        <v>1034.28</v>
      </c>
      <c r="J1075" s="6" t="n">
        <v>900.28</v>
      </c>
    </row>
    <row collapsed="false" customFormat="false" customHeight="false" hidden="false" ht="12.1" outlineLevel="0" r="1076">
      <c r="A1076" s="35" t="n">
        <v>46595</v>
      </c>
      <c r="B1076" s="16" t="s">
        <v>1375</v>
      </c>
      <c r="C1076" s="16" t="s">
        <v>154</v>
      </c>
      <c r="D1076" s="16" t="s">
        <v>155</v>
      </c>
      <c r="E1076" s="6" t="n">
        <v>1000</v>
      </c>
      <c r="F1076" s="7" t="n">
        <v>6</v>
      </c>
      <c r="G1076" s="6" t="n">
        <v>34.41</v>
      </c>
      <c r="H1076" s="6" t="n">
        <v>27</v>
      </c>
      <c r="I1076" s="6" t="n">
        <v>206.46</v>
      </c>
      <c r="J1076" s="6" t="n">
        <v>179.46</v>
      </c>
    </row>
    <row collapsed="false" customFormat="false" customHeight="false" hidden="false" ht="12.1" outlineLevel="0" r="1077">
      <c r="A1077" s="35" t="n">
        <v>46597</v>
      </c>
      <c r="B1077" s="16" t="s">
        <v>1375</v>
      </c>
      <c r="C1077" s="16" t="s">
        <v>151</v>
      </c>
      <c r="D1077" s="16" t="s">
        <v>152</v>
      </c>
      <c r="E1077" s="6" t="n">
        <v>1000</v>
      </c>
      <c r="F1077" s="7" t="n">
        <v>5</v>
      </c>
      <c r="G1077" s="6" t="n">
        <v>59.84</v>
      </c>
      <c r="H1077" s="6" t="n">
        <v>39</v>
      </c>
      <c r="I1077" s="6" t="n">
        <v>299.2</v>
      </c>
      <c r="J1077" s="6" t="n">
        <v>260.2</v>
      </c>
    </row>
    <row collapsed="false" customFormat="false" customHeight="false" hidden="false" ht="12.1" outlineLevel="0" r="1078">
      <c r="A1078" s="35" t="n">
        <v>46602</v>
      </c>
      <c r="B1078" s="16" t="s">
        <v>1375</v>
      </c>
      <c r="C1078" s="16" t="s">
        <v>166</v>
      </c>
      <c r="D1078" s="16" t="s">
        <v>167</v>
      </c>
      <c r="E1078" s="6" t="n">
        <v>1694.77</v>
      </c>
      <c r="F1078" s="7" t="n">
        <v>2</v>
      </c>
      <c r="G1078" s="6" t="n">
        <v>21.21</v>
      </c>
      <c r="H1078" s="6" t="n">
        <v>6</v>
      </c>
      <c r="I1078" s="6" t="n">
        <v>42.42</v>
      </c>
      <c r="J1078" s="6" t="n">
        <v>36.42</v>
      </c>
    </row>
    <row collapsed="false" customFormat="false" customHeight="false" hidden="false" ht="12.1" outlineLevel="0" r="1079">
      <c r="A1079" s="35" t="n">
        <v>46602</v>
      </c>
      <c r="B1079" s="16" t="s">
        <v>1375</v>
      </c>
      <c r="C1079" s="16" t="s">
        <v>254</v>
      </c>
      <c r="D1079" s="16" t="s">
        <v>255</v>
      </c>
      <c r="E1079" s="6" t="n">
        <v>1000</v>
      </c>
      <c r="F1079" s="7" t="n">
        <v>1</v>
      </c>
      <c r="G1079" s="6" t="n">
        <v>11.38</v>
      </c>
      <c r="H1079" s="6" t="n">
        <v>1</v>
      </c>
      <c r="I1079" s="6" t="n">
        <v>11.38</v>
      </c>
      <c r="J1079" s="6" t="n">
        <v>10.38</v>
      </c>
    </row>
    <row collapsed="false" customFormat="false" customHeight="false" hidden="false" ht="12.1" outlineLevel="0" r="1080">
      <c r="A1080" s="35" t="n">
        <v>46608</v>
      </c>
      <c r="B1080" s="16" t="s">
        <v>1375</v>
      </c>
      <c r="C1080" s="16" t="s">
        <v>246</v>
      </c>
      <c r="D1080" s="16" t="s">
        <v>247</v>
      </c>
      <c r="E1080" s="6" t="n">
        <v>1000</v>
      </c>
      <c r="F1080" s="7" t="n">
        <v>1</v>
      </c>
      <c r="G1080" s="6" t="n">
        <v>20.96</v>
      </c>
      <c r="H1080" s="6" t="n">
        <v>3</v>
      </c>
      <c r="I1080" s="6" t="n">
        <v>20.96</v>
      </c>
      <c r="J1080" s="6" t="n">
        <v>17.96</v>
      </c>
    </row>
    <row collapsed="false" customFormat="false" customHeight="false" hidden="false" ht="12.1" outlineLevel="0" r="1081">
      <c r="A1081" s="35" t="n">
        <v>46609</v>
      </c>
      <c r="B1081" s="16" t="s">
        <v>1375</v>
      </c>
      <c r="C1081" s="16" t="s">
        <v>112</v>
      </c>
      <c r="D1081" s="16" t="s">
        <v>113</v>
      </c>
      <c r="E1081" s="6" t="n">
        <v>1000</v>
      </c>
      <c r="F1081" s="7" t="n">
        <v>19</v>
      </c>
      <c r="G1081" s="6" t="n">
        <v>34.9</v>
      </c>
      <c r="H1081" s="6" t="n">
        <v>86</v>
      </c>
      <c r="I1081" s="6" t="n">
        <v>663.1</v>
      </c>
      <c r="J1081" s="6" t="n">
        <v>577.1</v>
      </c>
    </row>
    <row collapsed="false" customFormat="false" customHeight="false" hidden="false" ht="12.1" outlineLevel="0" r="1082">
      <c r="A1082" s="35" t="n">
        <v>46611</v>
      </c>
      <c r="B1082" s="16" t="s">
        <v>1375</v>
      </c>
      <c r="C1082" s="16" t="s">
        <v>160</v>
      </c>
      <c r="D1082" s="16" t="s">
        <v>161</v>
      </c>
      <c r="E1082" s="6" t="n">
        <v>1000</v>
      </c>
      <c r="F1082" s="7" t="n">
        <v>4</v>
      </c>
      <c r="G1082" s="6" t="n">
        <v>51.86</v>
      </c>
      <c r="H1082" s="6" t="n">
        <v>27</v>
      </c>
      <c r="I1082" s="6" t="n">
        <v>207.44</v>
      </c>
      <c r="J1082" s="6" t="n">
        <v>180.44</v>
      </c>
    </row>
    <row collapsed="false" customFormat="false" customHeight="false" hidden="false" ht="12.1" outlineLevel="0" r="1083">
      <c r="A1083" s="35" t="n">
        <v>46612</v>
      </c>
      <c r="B1083" s="16" t="s">
        <v>1375</v>
      </c>
      <c r="C1083" s="16" t="s">
        <v>190</v>
      </c>
      <c r="D1083" s="16" t="s">
        <v>191</v>
      </c>
      <c r="E1083" s="6" t="n">
        <v>1000</v>
      </c>
      <c r="F1083" s="7" t="n">
        <v>2</v>
      </c>
      <c r="G1083" s="6" t="n">
        <v>13.77</v>
      </c>
      <c r="H1083" s="6" t="n">
        <v>4</v>
      </c>
      <c r="I1083" s="6" t="n">
        <v>27.54</v>
      </c>
      <c r="J1083" s="6" t="n">
        <v>23.54</v>
      </c>
    </row>
    <row collapsed="false" customFormat="false" customHeight="false" hidden="false" ht="12.1" outlineLevel="0" r="1084">
      <c r="A1084" s="35" t="n">
        <v>46613</v>
      </c>
      <c r="B1084" s="16" t="s">
        <v>1375</v>
      </c>
      <c r="C1084" s="16" t="s">
        <v>263</v>
      </c>
      <c r="D1084" s="16" t="s">
        <v>264</v>
      </c>
      <c r="E1084" s="6" t="n">
        <v>1000</v>
      </c>
      <c r="F1084" s="7" t="n">
        <v>1</v>
      </c>
      <c r="G1084" s="6" t="n">
        <v>12.66</v>
      </c>
      <c r="H1084" s="6" t="n">
        <v>2</v>
      </c>
      <c r="I1084" s="6" t="n">
        <v>12.66</v>
      </c>
      <c r="J1084" s="6" t="n">
        <v>10.66</v>
      </c>
    </row>
    <row collapsed="false" customFormat="false" customHeight="false" hidden="false" ht="12.1" outlineLevel="0" r="1085">
      <c r="A1085" s="35" t="n">
        <v>46614</v>
      </c>
      <c r="B1085" s="16" t="s">
        <v>1375</v>
      </c>
      <c r="C1085" s="16" t="s">
        <v>243</v>
      </c>
      <c r="D1085" s="16" t="s">
        <v>244</v>
      </c>
      <c r="E1085" s="6" t="n">
        <v>1000</v>
      </c>
      <c r="F1085" s="7" t="n">
        <v>1</v>
      </c>
      <c r="G1085" s="6" t="n">
        <v>14.79</v>
      </c>
      <c r="H1085" s="6" t="n">
        <v>2</v>
      </c>
      <c r="I1085" s="6" t="n">
        <v>14.79</v>
      </c>
      <c r="J1085" s="6" t="n">
        <v>12.79</v>
      </c>
    </row>
    <row collapsed="false" customFormat="false" customHeight="false" hidden="false" ht="12.1" outlineLevel="0" r="1086">
      <c r="A1086" s="35" t="n">
        <v>46615</v>
      </c>
      <c r="B1086" s="16" t="s">
        <v>1375</v>
      </c>
      <c r="C1086" s="16" t="s">
        <v>249</v>
      </c>
      <c r="D1086" s="16" t="s">
        <v>250</v>
      </c>
      <c r="E1086" s="6" t="n">
        <v>1000</v>
      </c>
      <c r="F1086" s="7" t="n">
        <v>1</v>
      </c>
      <c r="G1086" s="6" t="n">
        <v>11.42</v>
      </c>
      <c r="H1086" s="6" t="n">
        <v>1</v>
      </c>
      <c r="I1086" s="6" t="n">
        <v>11.42</v>
      </c>
      <c r="J1086" s="6" t="n">
        <v>10.42</v>
      </c>
    </row>
    <row collapsed="false" customFormat="false" customHeight="false" hidden="false" ht="12.1" outlineLevel="0" r="1087">
      <c r="A1087" s="35" t="n">
        <v>46615</v>
      </c>
      <c r="B1087" s="16" t="s">
        <v>1375</v>
      </c>
      <c r="C1087" s="16" t="s">
        <v>252</v>
      </c>
      <c r="D1087" s="16" t="s">
        <v>253</v>
      </c>
      <c r="E1087" s="6" t="n">
        <v>1000</v>
      </c>
      <c r="F1087" s="7" t="n">
        <v>1</v>
      </c>
      <c r="G1087" s="6" t="n">
        <v>7.3</v>
      </c>
      <c r="H1087" s="6" t="n">
        <v>1</v>
      </c>
      <c r="I1087" s="6" t="n">
        <v>7.3</v>
      </c>
      <c r="J1087" s="6" t="n">
        <v>6.3</v>
      </c>
    </row>
    <row collapsed="false" customFormat="false" customHeight="false" hidden="false" ht="12.1" outlineLevel="0" r="1088">
      <c r="A1088" s="35" t="n">
        <v>46616</v>
      </c>
      <c r="B1088" s="16" t="s">
        <v>1375</v>
      </c>
      <c r="C1088" s="16" t="s">
        <v>184</v>
      </c>
      <c r="D1088" s="16" t="s">
        <v>185</v>
      </c>
      <c r="E1088" s="6" t="n">
        <v>1000</v>
      </c>
      <c r="F1088" s="7" t="n">
        <v>2</v>
      </c>
      <c r="G1088" s="6" t="n">
        <v>13.68</v>
      </c>
      <c r="H1088" s="6" t="n">
        <v>4</v>
      </c>
      <c r="I1088" s="6" t="n">
        <v>27.36</v>
      </c>
      <c r="J1088" s="6" t="n">
        <v>23.36</v>
      </c>
    </row>
    <row collapsed="false" customFormat="false" customHeight="false" hidden="false" ht="12.1" outlineLevel="0" r="1089">
      <c r="A1089" s="35" t="n">
        <v>46617</v>
      </c>
      <c r="B1089" s="16" t="s">
        <v>1375</v>
      </c>
      <c r="C1089" s="16" t="s">
        <v>331</v>
      </c>
      <c r="D1089" s="16" t="s">
        <v>332</v>
      </c>
      <c r="E1089" s="6" t="n">
        <v>250</v>
      </c>
      <c r="F1089" s="7" t="n">
        <v>1</v>
      </c>
      <c r="G1089" s="6" t="n">
        <v>2.17</v>
      </c>
      <c r="H1089" s="6" t="n">
        <v>0</v>
      </c>
      <c r="I1089" s="6" t="n">
        <v>2.17</v>
      </c>
      <c r="J1089" s="6" t="n">
        <v>2.17</v>
      </c>
    </row>
    <row collapsed="false" customFormat="false" customHeight="false" hidden="false" ht="12.1" outlineLevel="0" r="1090">
      <c r="A1090" s="35" t="n">
        <v>46617</v>
      </c>
      <c r="B1090" s="16" t="s">
        <v>1375</v>
      </c>
      <c r="C1090" s="16" t="s">
        <v>187</v>
      </c>
      <c r="D1090" s="16" t="s">
        <v>188</v>
      </c>
      <c r="E1090" s="6" t="n">
        <v>1000</v>
      </c>
      <c r="F1090" s="7" t="n">
        <v>2</v>
      </c>
      <c r="G1090" s="6" t="n">
        <v>39.87</v>
      </c>
      <c r="H1090" s="6" t="n">
        <v>10</v>
      </c>
      <c r="I1090" s="6" t="n">
        <v>79.74</v>
      </c>
      <c r="J1090" s="6" t="n">
        <v>69.74</v>
      </c>
    </row>
    <row collapsed="false" customFormat="false" customHeight="false" hidden="false" ht="12.1" outlineLevel="0" r="1091">
      <c r="A1091" s="35" t="n">
        <v>46618</v>
      </c>
      <c r="B1091" s="16" t="s">
        <v>1375</v>
      </c>
      <c r="C1091" s="16" t="s">
        <v>175</v>
      </c>
      <c r="D1091" s="16" t="s">
        <v>176</v>
      </c>
      <c r="E1091" s="6" t="n">
        <v>1000</v>
      </c>
      <c r="F1091" s="7" t="n">
        <v>3</v>
      </c>
      <c r="G1091" s="6" t="n">
        <v>44.88</v>
      </c>
      <c r="H1091" s="6" t="n">
        <v>18</v>
      </c>
      <c r="I1091" s="6" t="n">
        <v>134.64</v>
      </c>
      <c r="J1091" s="6" t="n">
        <v>116.64</v>
      </c>
    </row>
    <row collapsed="false" customFormat="false" customHeight="false" hidden="false" ht="12.1" outlineLevel="0" r="1092">
      <c r="A1092" s="35" t="n">
        <v>46619</v>
      </c>
      <c r="B1092" s="16" t="s">
        <v>1375</v>
      </c>
      <c r="C1092" s="16" t="s">
        <v>193</v>
      </c>
      <c r="D1092" s="16" t="s">
        <v>194</v>
      </c>
      <c r="E1092" s="6" t="n">
        <v>1000</v>
      </c>
      <c r="F1092" s="7" t="n">
        <v>2</v>
      </c>
      <c r="G1092" s="6" t="n">
        <v>12.95</v>
      </c>
      <c r="H1092" s="6" t="n">
        <v>3</v>
      </c>
      <c r="I1092" s="6" t="n">
        <v>25.9</v>
      </c>
      <c r="J1092" s="6" t="n">
        <v>22.9</v>
      </c>
    </row>
    <row collapsed="false" customFormat="false" customHeight="false" hidden="false" ht="12.1" outlineLevel="0" r="1093">
      <c r="A1093" s="35" t="n">
        <v>46621</v>
      </c>
      <c r="B1093" s="16" t="s">
        <v>1375</v>
      </c>
      <c r="C1093" s="16" t="s">
        <v>181</v>
      </c>
      <c r="D1093" s="16" t="s">
        <v>182</v>
      </c>
      <c r="E1093" s="6" t="n">
        <v>1000</v>
      </c>
      <c r="F1093" s="7" t="n">
        <v>2</v>
      </c>
      <c r="G1093" s="6" t="n">
        <v>13.15</v>
      </c>
      <c r="H1093" s="6" t="n">
        <v>3</v>
      </c>
      <c r="I1093" s="6" t="n">
        <v>26.3</v>
      </c>
      <c r="J1093" s="6" t="n">
        <v>23.3</v>
      </c>
    </row>
    <row collapsed="false" customFormat="false" customHeight="false" hidden="false" ht="12.1" outlineLevel="0" r="1094">
      <c r="A1094" s="35" t="n">
        <v>46622</v>
      </c>
      <c r="B1094" s="16" t="s">
        <v>1375</v>
      </c>
      <c r="C1094" s="16" t="s">
        <v>172</v>
      </c>
      <c r="D1094" s="16" t="s">
        <v>173</v>
      </c>
      <c r="E1094" s="6" t="n">
        <v>1000</v>
      </c>
      <c r="F1094" s="7" t="n">
        <v>3</v>
      </c>
      <c r="G1094" s="6" t="n">
        <v>24.93</v>
      </c>
      <c r="H1094" s="6" t="n">
        <v>10</v>
      </c>
      <c r="I1094" s="6" t="n">
        <v>74.79</v>
      </c>
      <c r="J1094" s="6" t="n">
        <v>64.79</v>
      </c>
    </row>
    <row collapsed="false" customFormat="false" customHeight="false" hidden="false" ht="12.1" outlineLevel="0" r="1095">
      <c r="A1095" s="35" t="n">
        <v>46623</v>
      </c>
      <c r="B1095" s="16" t="s">
        <v>1375</v>
      </c>
      <c r="C1095" s="16" t="s">
        <v>232</v>
      </c>
      <c r="D1095" s="16" t="s">
        <v>233</v>
      </c>
      <c r="E1095" s="6" t="n">
        <v>1000</v>
      </c>
      <c r="F1095" s="7" t="n">
        <v>2</v>
      </c>
      <c r="G1095" s="6" t="n">
        <v>1.64</v>
      </c>
      <c r="H1095" s="6" t="n">
        <v>0</v>
      </c>
      <c r="I1095" s="6" t="n">
        <v>3.28</v>
      </c>
      <c r="J1095" s="6" t="n">
        <v>3.28</v>
      </c>
    </row>
    <row collapsed="false" customFormat="false" customHeight="false" hidden="false" ht="12.1" outlineLevel="0" r="1096">
      <c r="A1096" s="35" t="n">
        <v>46624</v>
      </c>
      <c r="B1096" s="16" t="s">
        <v>1375</v>
      </c>
      <c r="C1096" s="16" t="s">
        <v>234</v>
      </c>
      <c r="D1096" s="16" t="s">
        <v>235</v>
      </c>
      <c r="E1096" s="6" t="n">
        <v>1000</v>
      </c>
      <c r="F1096" s="7" t="n">
        <v>1</v>
      </c>
      <c r="G1096" s="6" t="n">
        <v>19.11</v>
      </c>
      <c r="H1096" s="6" t="n">
        <v>2</v>
      </c>
      <c r="I1096" s="6" t="n">
        <v>19.11</v>
      </c>
      <c r="J1096" s="6" t="n">
        <v>17.11</v>
      </c>
    </row>
    <row collapsed="false" customFormat="false" customHeight="false" hidden="false" ht="12.1" outlineLevel="0" r="1097">
      <c r="A1097" s="35" t="n">
        <v>46630</v>
      </c>
      <c r="B1097" s="16" t="s">
        <v>1375</v>
      </c>
      <c r="C1097" s="16" t="s">
        <v>163</v>
      </c>
      <c r="D1097" s="16" t="s">
        <v>164</v>
      </c>
      <c r="E1097" s="6" t="n">
        <v>1000</v>
      </c>
      <c r="F1097" s="7" t="n">
        <v>4</v>
      </c>
      <c r="G1097" s="6" t="n">
        <v>44.88</v>
      </c>
      <c r="H1097" s="6" t="n">
        <v>23</v>
      </c>
      <c r="I1097" s="6" t="n">
        <v>179.52</v>
      </c>
      <c r="J1097" s="6" t="n">
        <v>156.52</v>
      </c>
    </row>
    <row collapsed="false" customFormat="false" customHeight="false" hidden="false" ht="12.1" outlineLevel="0" r="1098">
      <c r="A1098" s="35" t="n">
        <v>46630</v>
      </c>
      <c r="B1098" s="16" t="s">
        <v>1375</v>
      </c>
      <c r="C1098" s="16" t="s">
        <v>329</v>
      </c>
      <c r="D1098" s="16" t="s">
        <v>330</v>
      </c>
      <c r="E1098" s="6" t="n">
        <v>1000</v>
      </c>
      <c r="F1098" s="7" t="n">
        <v>1</v>
      </c>
      <c r="G1098" s="6" t="n">
        <v>19.87</v>
      </c>
      <c r="H1098" s="6" t="n">
        <v>3</v>
      </c>
      <c r="I1098" s="6" t="n">
        <v>19.87</v>
      </c>
      <c r="J1098" s="6" t="n">
        <v>16.87</v>
      </c>
    </row>
    <row collapsed="false" customFormat="false" customHeight="false" hidden="false" ht="12.1" outlineLevel="0" r="1099">
      <c r="A1099" s="35" t="n">
        <v>46632</v>
      </c>
      <c r="B1099" s="16" t="s">
        <v>1375</v>
      </c>
      <c r="C1099" s="16" t="s">
        <v>254</v>
      </c>
      <c r="D1099" s="16" t="s">
        <v>255</v>
      </c>
      <c r="E1099" s="6" t="n">
        <v>1000</v>
      </c>
      <c r="F1099" s="7" t="n">
        <v>1</v>
      </c>
      <c r="G1099" s="6" t="n">
        <v>11.38</v>
      </c>
      <c r="H1099" s="6" t="n">
        <v>1</v>
      </c>
      <c r="I1099" s="6" t="n">
        <v>11.38</v>
      </c>
      <c r="J1099" s="6" t="n">
        <v>10.38</v>
      </c>
    </row>
    <row collapsed="false" customFormat="false" customHeight="false" hidden="false" ht="12.1" outlineLevel="0" r="1100">
      <c r="A1100" s="35" t="n">
        <v>46638</v>
      </c>
      <c r="B1100" s="16" t="s">
        <v>1375</v>
      </c>
      <c r="C1100" s="16" t="s">
        <v>246</v>
      </c>
      <c r="D1100" s="16" t="s">
        <v>247</v>
      </c>
      <c r="E1100" s="6" t="n">
        <v>1000</v>
      </c>
      <c r="F1100" s="7" t="n">
        <v>1</v>
      </c>
      <c r="G1100" s="6" t="n">
        <v>20.96</v>
      </c>
      <c r="H1100" s="6" t="n">
        <v>3</v>
      </c>
      <c r="I1100" s="6" t="n">
        <v>20.96</v>
      </c>
      <c r="J1100" s="6" t="n">
        <v>17.96</v>
      </c>
    </row>
    <row collapsed="false" customFormat="false" customHeight="false" hidden="false" ht="12.1" outlineLevel="0" r="1101">
      <c r="A1101" s="35" t="n">
        <v>46639</v>
      </c>
      <c r="B1101" s="16" t="s">
        <v>1375</v>
      </c>
      <c r="C1101" s="16" t="s">
        <v>229</v>
      </c>
      <c r="D1101" s="16" t="s">
        <v>230</v>
      </c>
      <c r="E1101" s="6" t="n">
        <v>1000</v>
      </c>
      <c r="F1101" s="7" t="n">
        <v>2</v>
      </c>
      <c r="G1101" s="6" t="n">
        <v>17.83</v>
      </c>
      <c r="H1101" s="6" t="n">
        <v>5</v>
      </c>
      <c r="I1101" s="6" t="n">
        <v>35.66</v>
      </c>
      <c r="J1101" s="6" t="n">
        <v>30.66</v>
      </c>
    </row>
    <row collapsed="false" customFormat="false" customHeight="false" hidden="false" ht="12.1" outlineLevel="0" r="1102">
      <c r="A1102" s="35" t="n">
        <v>46642</v>
      </c>
      <c r="B1102" s="16" t="s">
        <v>1375</v>
      </c>
      <c r="C1102" s="16" t="s">
        <v>190</v>
      </c>
      <c r="D1102" s="16" t="s">
        <v>191</v>
      </c>
      <c r="E1102" s="6" t="n">
        <v>1000</v>
      </c>
      <c r="F1102" s="7" t="n">
        <v>2</v>
      </c>
      <c r="G1102" s="6" t="n">
        <v>13.77</v>
      </c>
      <c r="H1102" s="6" t="n">
        <v>4</v>
      </c>
      <c r="I1102" s="6" t="n">
        <v>27.54</v>
      </c>
      <c r="J1102" s="6" t="n">
        <v>23.54</v>
      </c>
    </row>
    <row collapsed="false" customFormat="false" customHeight="false" hidden="false" ht="12.1" outlineLevel="0" r="1103">
      <c r="A1103" s="35" t="n">
        <v>46643</v>
      </c>
      <c r="B1103" s="16" t="s">
        <v>1375</v>
      </c>
      <c r="C1103" s="16" t="s">
        <v>263</v>
      </c>
      <c r="D1103" s="16" t="s">
        <v>264</v>
      </c>
      <c r="E1103" s="6" t="n">
        <v>1000</v>
      </c>
      <c r="F1103" s="7" t="n">
        <v>1</v>
      </c>
      <c r="G1103" s="6" t="n">
        <v>12.66</v>
      </c>
      <c r="H1103" s="6" t="n">
        <v>2</v>
      </c>
      <c r="I1103" s="6" t="n">
        <v>12.66</v>
      </c>
      <c r="J1103" s="6" t="n">
        <v>10.66</v>
      </c>
    </row>
    <row collapsed="false" customFormat="false" customHeight="false" hidden="false" ht="12.1" outlineLevel="0" r="1104">
      <c r="A1104" s="35" t="n">
        <v>46644</v>
      </c>
      <c r="B1104" s="16" t="s">
        <v>1375</v>
      </c>
      <c r="C1104" s="16" t="s">
        <v>243</v>
      </c>
      <c r="D1104" s="16" t="s">
        <v>244</v>
      </c>
      <c r="E1104" s="6" t="n">
        <v>1000</v>
      </c>
      <c r="F1104" s="7" t="n">
        <v>1</v>
      </c>
      <c r="G1104" s="6" t="n">
        <v>14.79</v>
      </c>
      <c r="H1104" s="6" t="n">
        <v>2</v>
      </c>
      <c r="I1104" s="6" t="n">
        <v>14.79</v>
      </c>
      <c r="J1104" s="6" t="n">
        <v>12.79</v>
      </c>
    </row>
    <row collapsed="false" customFormat="false" customHeight="false" hidden="false" ht="12.1" outlineLevel="0" r="1105">
      <c r="A1105" s="35" t="n">
        <v>46644</v>
      </c>
      <c r="B1105" s="16" t="s">
        <v>1375</v>
      </c>
      <c r="C1105" s="16" t="s">
        <v>103</v>
      </c>
      <c r="D1105" s="16" t="s">
        <v>104</v>
      </c>
      <c r="E1105" s="6" t="n">
        <v>1000</v>
      </c>
      <c r="F1105" s="7" t="n">
        <v>17</v>
      </c>
      <c r="G1105" s="6" t="n">
        <v>29.42</v>
      </c>
      <c r="H1105" s="6" t="n">
        <v>65</v>
      </c>
      <c r="I1105" s="6" t="n">
        <v>500.14</v>
      </c>
      <c r="J1105" s="6" t="n">
        <v>435.14</v>
      </c>
    </row>
    <row collapsed="false" customFormat="false" customHeight="false" hidden="false" ht="12.1" outlineLevel="0" r="1106">
      <c r="A1106" s="35" t="n">
        <v>46645</v>
      </c>
      <c r="B1106" s="16" t="s">
        <v>1375</v>
      </c>
      <c r="C1106" s="16" t="s">
        <v>252</v>
      </c>
      <c r="D1106" s="16" t="s">
        <v>253</v>
      </c>
      <c r="E1106" s="6" t="n">
        <v>1000</v>
      </c>
      <c r="F1106" s="7" t="n">
        <v>1</v>
      </c>
      <c r="G1106" s="6" t="n">
        <v>4.87</v>
      </c>
      <c r="H1106" s="6" t="n">
        <v>1</v>
      </c>
      <c r="I1106" s="6" t="n">
        <v>4.87</v>
      </c>
      <c r="J1106" s="6" t="n">
        <v>3.87</v>
      </c>
    </row>
    <row collapsed="false" customFormat="false" customHeight="false" hidden="false" ht="12.1" outlineLevel="0" r="1107">
      <c r="A1107" s="35" t="n">
        <v>46645</v>
      </c>
      <c r="B1107" s="16" t="s">
        <v>1375</v>
      </c>
      <c r="C1107" s="16" t="s">
        <v>249</v>
      </c>
      <c r="D1107" s="16" t="s">
        <v>250</v>
      </c>
      <c r="E1107" s="6" t="n">
        <v>1000</v>
      </c>
      <c r="F1107" s="7" t="n">
        <v>1</v>
      </c>
      <c r="G1107" s="6" t="n">
        <v>11.42</v>
      </c>
      <c r="H1107" s="6" t="n">
        <v>1</v>
      </c>
      <c r="I1107" s="6" t="n">
        <v>11.42</v>
      </c>
      <c r="J1107" s="6" t="n">
        <v>10.42</v>
      </c>
    </row>
    <row collapsed="false" customFormat="false" customHeight="false" hidden="false" ht="12.1" outlineLevel="0" r="1108">
      <c r="A1108" s="35" t="n">
        <v>46646</v>
      </c>
      <c r="B1108" s="16" t="s">
        <v>1375</v>
      </c>
      <c r="C1108" s="16" t="s">
        <v>184</v>
      </c>
      <c r="D1108" s="16" t="s">
        <v>185</v>
      </c>
      <c r="E1108" s="6" t="n">
        <v>1000</v>
      </c>
      <c r="F1108" s="7" t="n">
        <v>2</v>
      </c>
      <c r="G1108" s="6" t="n">
        <v>13.68</v>
      </c>
      <c r="H1108" s="6" t="n">
        <v>4</v>
      </c>
      <c r="I1108" s="6" t="n">
        <v>27.36</v>
      </c>
      <c r="J1108" s="6" t="n">
        <v>23.36</v>
      </c>
    </row>
    <row collapsed="false" customFormat="false" customHeight="false" hidden="false" ht="12.1" outlineLevel="0" r="1109">
      <c r="A1109" s="35" t="n">
        <v>46649</v>
      </c>
      <c r="B1109" s="16" t="s">
        <v>1375</v>
      </c>
      <c r="C1109" s="16" t="s">
        <v>193</v>
      </c>
      <c r="D1109" s="16" t="s">
        <v>194</v>
      </c>
      <c r="E1109" s="6" t="n">
        <v>1000</v>
      </c>
      <c r="F1109" s="7" t="n">
        <v>2</v>
      </c>
      <c r="G1109" s="6" t="n">
        <v>12.95</v>
      </c>
      <c r="H1109" s="6" t="n">
        <v>3</v>
      </c>
      <c r="I1109" s="6" t="n">
        <v>25.9</v>
      </c>
      <c r="J1109" s="6" t="n">
        <v>22.9</v>
      </c>
    </row>
    <row collapsed="false" customFormat="false" customHeight="false" hidden="false" ht="12.1" outlineLevel="0" r="1110">
      <c r="A1110" s="35" t="n">
        <v>46649</v>
      </c>
      <c r="B1110" s="16" t="s">
        <v>1375</v>
      </c>
      <c r="C1110" s="16" t="s">
        <v>220</v>
      </c>
      <c r="D1110" s="16" t="s">
        <v>221</v>
      </c>
      <c r="E1110" s="6" t="n">
        <v>1000</v>
      </c>
      <c r="F1110" s="7" t="n">
        <v>2</v>
      </c>
      <c r="G1110" s="6" t="n">
        <v>45.38</v>
      </c>
      <c r="H1110" s="6" t="n">
        <v>12</v>
      </c>
      <c r="I1110" s="6" t="n">
        <v>90.76</v>
      </c>
      <c r="J1110" s="6" t="n">
        <v>78.76</v>
      </c>
    </row>
    <row collapsed="false" customFormat="false" customHeight="false" hidden="false" ht="12.1" outlineLevel="0" r="1111">
      <c r="A1111" s="35" t="n">
        <v>46651</v>
      </c>
      <c r="B1111" s="16" t="s">
        <v>1375</v>
      </c>
      <c r="C1111" s="16" t="s">
        <v>133</v>
      </c>
      <c r="D1111" s="16" t="s">
        <v>134</v>
      </c>
      <c r="E1111" s="6" t="n">
        <v>1000</v>
      </c>
      <c r="F1111" s="7" t="n">
        <v>12</v>
      </c>
      <c r="G1111" s="6" t="n">
        <v>42.38</v>
      </c>
      <c r="H1111" s="6" t="n">
        <v>66</v>
      </c>
      <c r="I1111" s="6" t="n">
        <v>508.56</v>
      </c>
      <c r="J1111" s="6" t="n">
        <v>442.56</v>
      </c>
    </row>
    <row collapsed="false" customFormat="false" customHeight="false" hidden="false" ht="12.1" outlineLevel="0" r="1112">
      <c r="A1112" s="35" t="n">
        <v>46651</v>
      </c>
      <c r="B1112" s="16" t="s">
        <v>1375</v>
      </c>
      <c r="C1112" s="16" t="s">
        <v>97</v>
      </c>
      <c r="D1112" s="16" t="s">
        <v>98</v>
      </c>
      <c r="E1112" s="6" t="n">
        <v>1000</v>
      </c>
      <c r="F1112" s="7" t="n">
        <v>14</v>
      </c>
      <c r="G1112" s="6" t="n">
        <v>59.84</v>
      </c>
      <c r="H1112" s="6" t="n">
        <v>109</v>
      </c>
      <c r="I1112" s="6" t="n">
        <v>837.76</v>
      </c>
      <c r="J1112" s="6" t="n">
        <v>728.76</v>
      </c>
    </row>
    <row collapsed="false" customFormat="false" customHeight="false" hidden="false" ht="12.1" outlineLevel="0" r="1113">
      <c r="A1113" s="35" t="n">
        <v>46651</v>
      </c>
      <c r="B1113" s="16" t="s">
        <v>1375</v>
      </c>
      <c r="C1113" s="16" t="s">
        <v>157</v>
      </c>
      <c r="D1113" s="16" t="s">
        <v>158</v>
      </c>
      <c r="E1113" s="6" t="n">
        <v>1448.61</v>
      </c>
      <c r="F1113" s="7" t="n">
        <v>4</v>
      </c>
      <c r="G1113" s="6" t="n">
        <v>18.13</v>
      </c>
      <c r="H1113" s="6" t="n">
        <v>9</v>
      </c>
      <c r="I1113" s="6" t="n">
        <v>72.52</v>
      </c>
      <c r="J1113" s="6" t="n">
        <v>63.52</v>
      </c>
    </row>
    <row collapsed="false" customFormat="false" customHeight="false" hidden="false" ht="12.1" outlineLevel="0" r="1114">
      <c r="A1114" s="35" t="n">
        <v>46651</v>
      </c>
      <c r="B1114" s="16" t="s">
        <v>1375</v>
      </c>
      <c r="C1114" s="16" t="s">
        <v>130</v>
      </c>
      <c r="D1114" s="16" t="s">
        <v>131</v>
      </c>
      <c r="E1114" s="6" t="n">
        <v>1000</v>
      </c>
      <c r="F1114" s="7" t="n">
        <v>11</v>
      </c>
      <c r="G1114" s="6" t="n">
        <v>56.1</v>
      </c>
      <c r="H1114" s="6" t="n">
        <v>80</v>
      </c>
      <c r="I1114" s="6" t="n">
        <v>617.1</v>
      </c>
      <c r="J1114" s="6" t="n">
        <v>537.1</v>
      </c>
    </row>
    <row collapsed="false" customFormat="false" customHeight="false" hidden="false" ht="12.1" outlineLevel="0" r="1115">
      <c r="A1115" s="35" t="n">
        <v>46651</v>
      </c>
      <c r="B1115" s="16" t="s">
        <v>1375</v>
      </c>
      <c r="C1115" s="16" t="s">
        <v>181</v>
      </c>
      <c r="D1115" s="16" t="s">
        <v>182</v>
      </c>
      <c r="E1115" s="6" t="n">
        <v>1000</v>
      </c>
      <c r="F1115" s="7" t="n">
        <v>2</v>
      </c>
      <c r="G1115" s="6" t="n">
        <v>13.15</v>
      </c>
      <c r="H1115" s="6" t="n">
        <v>3</v>
      </c>
      <c r="I1115" s="6" t="n">
        <v>26.3</v>
      </c>
      <c r="J1115" s="6" t="n">
        <v>23.3</v>
      </c>
    </row>
    <row collapsed="false" customFormat="false" customHeight="false" hidden="false" ht="12.1" outlineLevel="0" r="1116">
      <c r="A1116" s="35" t="n">
        <v>46653</v>
      </c>
      <c r="B1116" s="16" t="s">
        <v>1375</v>
      </c>
      <c r="C1116" s="16" t="s">
        <v>232</v>
      </c>
      <c r="D1116" s="16" t="s">
        <v>233</v>
      </c>
      <c r="E1116" s="6" t="n">
        <v>1000</v>
      </c>
      <c r="F1116" s="7" t="n">
        <v>2</v>
      </c>
      <c r="G1116" s="6" t="n">
        <v>1.64</v>
      </c>
      <c r="H1116" s="6" t="n">
        <v>0</v>
      </c>
      <c r="I1116" s="6" t="n">
        <v>3.28</v>
      </c>
      <c r="J1116" s="6" t="n">
        <v>3.28</v>
      </c>
    </row>
    <row collapsed="false" customFormat="false" customHeight="false" hidden="false" ht="12.1" outlineLevel="0" r="1117">
      <c r="A1117" s="35" t="n">
        <v>46654</v>
      </c>
      <c r="B1117" s="16" t="s">
        <v>1375</v>
      </c>
      <c r="C1117" s="16" t="s">
        <v>234</v>
      </c>
      <c r="D1117" s="16" t="s">
        <v>235</v>
      </c>
      <c r="E1117" s="6" t="n">
        <v>1000</v>
      </c>
      <c r="F1117" s="7" t="n">
        <v>1</v>
      </c>
      <c r="G1117" s="6" t="n">
        <v>19.11</v>
      </c>
      <c r="H1117" s="6" t="n">
        <v>2</v>
      </c>
      <c r="I1117" s="6" t="n">
        <v>19.11</v>
      </c>
      <c r="J1117" s="6" t="n">
        <v>17.11</v>
      </c>
    </row>
    <row collapsed="false" customFormat="false" customHeight="false" hidden="false" ht="12.1" outlineLevel="0" r="1118">
      <c r="A1118" s="35" t="n">
        <v>46658</v>
      </c>
      <c r="B1118" s="16" t="s">
        <v>1375</v>
      </c>
      <c r="C1118" s="16" t="s">
        <v>106</v>
      </c>
      <c r="D1118" s="16" t="s">
        <v>107</v>
      </c>
      <c r="E1118" s="6" t="n">
        <v>1000</v>
      </c>
      <c r="F1118" s="7" t="n">
        <v>18</v>
      </c>
      <c r="G1118" s="6" t="n">
        <v>38.39</v>
      </c>
      <c r="H1118" s="6" t="n">
        <v>90</v>
      </c>
      <c r="I1118" s="6" t="n">
        <v>691.02</v>
      </c>
      <c r="J1118" s="6" t="n">
        <v>601.02</v>
      </c>
    </row>
    <row collapsed="false" customFormat="false" customHeight="false" hidden="false" ht="12.1" outlineLevel="0" r="1119">
      <c r="A1119" s="35" t="n">
        <v>46658</v>
      </c>
      <c r="B1119" s="16" t="s">
        <v>1375</v>
      </c>
      <c r="C1119" s="16" t="s">
        <v>127</v>
      </c>
      <c r="D1119" s="16" t="s">
        <v>128</v>
      </c>
      <c r="E1119" s="6" t="n">
        <v>1000</v>
      </c>
      <c r="F1119" s="7" t="n">
        <v>14</v>
      </c>
      <c r="G1119" s="6" t="n">
        <v>38.39</v>
      </c>
      <c r="H1119" s="6" t="n">
        <v>70</v>
      </c>
      <c r="I1119" s="6" t="n">
        <v>537.46</v>
      </c>
      <c r="J1119" s="6" t="n">
        <v>467.46</v>
      </c>
    </row>
    <row collapsed="false" customFormat="false" customHeight="false" hidden="false" ht="12.1" outlineLevel="0" r="1120">
      <c r="A1120" s="35" t="n">
        <v>46662</v>
      </c>
      <c r="B1120" s="16" t="s">
        <v>1375</v>
      </c>
      <c r="C1120" s="16" t="s">
        <v>254</v>
      </c>
      <c r="D1120" s="16" t="s">
        <v>255</v>
      </c>
      <c r="E1120" s="6" t="n">
        <v>1000</v>
      </c>
      <c r="F1120" s="7" t="n">
        <v>1</v>
      </c>
      <c r="G1120" s="6" t="n">
        <v>11.38</v>
      </c>
      <c r="H1120" s="6" t="n">
        <v>1</v>
      </c>
      <c r="I1120" s="6" t="n">
        <v>11.38</v>
      </c>
      <c r="J1120" s="6" t="n">
        <v>10.38</v>
      </c>
    </row>
    <row collapsed="false" customFormat="false" customHeight="false" hidden="false" ht="12.1" outlineLevel="0" r="1121">
      <c r="A1121" s="35" t="n">
        <v>46665</v>
      </c>
      <c r="B1121" s="16" t="s">
        <v>1375</v>
      </c>
      <c r="C1121" s="16" t="s">
        <v>142</v>
      </c>
      <c r="D1121" s="16" t="s">
        <v>143</v>
      </c>
      <c r="E1121" s="6" t="n">
        <v>1000</v>
      </c>
      <c r="F1121" s="7" t="n">
        <v>5</v>
      </c>
      <c r="G1121" s="6" t="n">
        <v>102.92</v>
      </c>
      <c r="H1121" s="6" t="n">
        <v>67</v>
      </c>
      <c r="I1121" s="6" t="n">
        <v>514.6</v>
      </c>
      <c r="J1121" s="6" t="n">
        <v>447.6</v>
      </c>
    </row>
    <row collapsed="false" customFormat="false" customHeight="false" hidden="false" ht="12.1" outlineLevel="0" r="1122">
      <c r="A1122" s="35" t="n">
        <v>46665</v>
      </c>
      <c r="B1122" s="16" t="s">
        <v>1375</v>
      </c>
      <c r="C1122" s="16" t="s">
        <v>121</v>
      </c>
      <c r="D1122" s="16" t="s">
        <v>122</v>
      </c>
      <c r="E1122" s="6" t="n">
        <v>1000</v>
      </c>
      <c r="F1122" s="7" t="n">
        <v>12</v>
      </c>
      <c r="G1122" s="6" t="n">
        <v>59.84</v>
      </c>
      <c r="H1122" s="6" t="n">
        <v>93</v>
      </c>
      <c r="I1122" s="6" t="n">
        <v>718.08</v>
      </c>
      <c r="J1122" s="6" t="n">
        <v>625.08</v>
      </c>
    </row>
    <row collapsed="false" customFormat="false" customHeight="false" hidden="false" ht="12.1" outlineLevel="0" r="1123">
      <c r="A1123" s="35" t="n">
        <v>46668</v>
      </c>
      <c r="B1123" s="16" t="s">
        <v>1375</v>
      </c>
      <c r="C1123" s="16" t="s">
        <v>246</v>
      </c>
      <c r="D1123" s="16" t="s">
        <v>247</v>
      </c>
      <c r="E1123" s="6" t="n">
        <v>1000</v>
      </c>
      <c r="F1123" s="7" t="n">
        <v>1</v>
      </c>
      <c r="G1123" s="6" t="n">
        <v>20.96</v>
      </c>
      <c r="H1123" s="6" t="n">
        <v>3</v>
      </c>
      <c r="I1123" s="6" t="n">
        <v>20.96</v>
      </c>
      <c r="J1123" s="6" t="n">
        <v>17.96</v>
      </c>
    </row>
    <row collapsed="false" customFormat="false" customHeight="false" hidden="false" ht="12.1" outlineLevel="0" r="1124">
      <c r="A1124" s="35" t="n">
        <v>46671</v>
      </c>
      <c r="B1124" s="16" t="s">
        <v>1375</v>
      </c>
      <c r="C1124" s="16" t="s">
        <v>217</v>
      </c>
      <c r="D1124" s="16" t="s">
        <v>218</v>
      </c>
      <c r="E1124" s="6" t="n">
        <v>1000</v>
      </c>
      <c r="F1124" s="7" t="n">
        <v>2</v>
      </c>
      <c r="G1124" s="6" t="n">
        <v>24.93</v>
      </c>
      <c r="H1124" s="6" t="n">
        <v>6</v>
      </c>
      <c r="I1124" s="6" t="n">
        <v>49.86</v>
      </c>
      <c r="J1124" s="6" t="n">
        <v>43.86</v>
      </c>
    </row>
    <row collapsed="false" customFormat="false" customHeight="false" hidden="false" ht="12.1" outlineLevel="0" r="1125">
      <c r="A1125" s="35" t="n">
        <v>46672</v>
      </c>
      <c r="B1125" s="16" t="s">
        <v>1375</v>
      </c>
      <c r="C1125" s="16" t="s">
        <v>190</v>
      </c>
      <c r="D1125" s="16" t="s">
        <v>191</v>
      </c>
      <c r="E1125" s="6" t="n">
        <v>1000</v>
      </c>
      <c r="F1125" s="7" t="n">
        <v>2</v>
      </c>
      <c r="G1125" s="6" t="n">
        <v>13.77</v>
      </c>
      <c r="H1125" s="6" t="n">
        <v>4</v>
      </c>
      <c r="I1125" s="6" t="n">
        <v>27.54</v>
      </c>
      <c r="J1125" s="6" t="n">
        <v>23.54</v>
      </c>
    </row>
    <row collapsed="false" customFormat="false" customHeight="false" hidden="false" ht="12.1" outlineLevel="0" r="1126">
      <c r="A1126" s="35" t="n">
        <v>46672</v>
      </c>
      <c r="B1126" s="16" t="s">
        <v>1375</v>
      </c>
      <c r="C1126" s="16" t="s">
        <v>124</v>
      </c>
      <c r="D1126" s="16" t="s">
        <v>125</v>
      </c>
      <c r="E1126" s="6" t="n">
        <v>1000</v>
      </c>
      <c r="F1126" s="7" t="n">
        <v>13</v>
      </c>
      <c r="G1126" s="6" t="n">
        <v>38.15</v>
      </c>
      <c r="H1126" s="6" t="n">
        <v>64</v>
      </c>
      <c r="I1126" s="6" t="n">
        <v>495.95</v>
      </c>
      <c r="J1126" s="6" t="n">
        <v>431.95</v>
      </c>
    </row>
    <row collapsed="false" customFormat="false" customHeight="false" hidden="false" ht="12.1" outlineLevel="0" r="1127">
      <c r="A1127" s="35" t="n">
        <v>46673</v>
      </c>
      <c r="B1127" s="16" t="s">
        <v>1375</v>
      </c>
      <c r="C1127" s="16" t="s">
        <v>178</v>
      </c>
      <c r="D1127" s="16" t="s">
        <v>179</v>
      </c>
      <c r="E1127" s="6" t="n">
        <v>1000</v>
      </c>
      <c r="F1127" s="7" t="n">
        <v>2</v>
      </c>
      <c r="G1127" s="6" t="n">
        <v>43.13</v>
      </c>
      <c r="H1127" s="6" t="n">
        <v>11</v>
      </c>
      <c r="I1127" s="6" t="n">
        <v>86.26</v>
      </c>
      <c r="J1127" s="6" t="n">
        <v>75.26</v>
      </c>
    </row>
    <row collapsed="false" customFormat="false" customHeight="false" hidden="false" ht="12.1" outlineLevel="0" r="1128">
      <c r="A1128" s="35" t="n">
        <v>46673</v>
      </c>
      <c r="B1128" s="16" t="s">
        <v>1375</v>
      </c>
      <c r="C1128" s="16" t="s">
        <v>263</v>
      </c>
      <c r="D1128" s="16" t="s">
        <v>264</v>
      </c>
      <c r="E1128" s="6" t="n">
        <v>1000</v>
      </c>
      <c r="F1128" s="7" t="n">
        <v>1</v>
      </c>
      <c r="G1128" s="6" t="n">
        <v>12.66</v>
      </c>
      <c r="H1128" s="6" t="n">
        <v>2</v>
      </c>
      <c r="I1128" s="6" t="n">
        <v>12.66</v>
      </c>
      <c r="J1128" s="6" t="n">
        <v>10.66</v>
      </c>
    </row>
    <row collapsed="false" customFormat="false" customHeight="false" hidden="false" ht="12.1" outlineLevel="0" r="1129">
      <c r="A1129" s="35" t="n">
        <v>46674</v>
      </c>
      <c r="B1129" s="16" t="s">
        <v>1375</v>
      </c>
      <c r="C1129" s="16" t="s">
        <v>243</v>
      </c>
      <c r="D1129" s="16" t="s">
        <v>244</v>
      </c>
      <c r="E1129" s="6" t="n">
        <v>1000</v>
      </c>
      <c r="F1129" s="7" t="n">
        <v>1</v>
      </c>
      <c r="G1129" s="6" t="n">
        <v>14.79</v>
      </c>
      <c r="H1129" s="6" t="n">
        <v>2</v>
      </c>
      <c r="I1129" s="6" t="n">
        <v>14.79</v>
      </c>
      <c r="J1129" s="6" t="n">
        <v>12.79</v>
      </c>
    </row>
    <row collapsed="false" customFormat="false" customHeight="false" hidden="false" ht="12.1" outlineLevel="0" r="1130">
      <c r="A1130" s="35" t="n">
        <v>46675</v>
      </c>
      <c r="B1130" s="16" t="s">
        <v>1375</v>
      </c>
      <c r="C1130" s="16" t="s">
        <v>252</v>
      </c>
      <c r="D1130" s="16" t="s">
        <v>253</v>
      </c>
      <c r="E1130" s="6" t="n">
        <v>1000</v>
      </c>
      <c r="F1130" s="7" t="n">
        <v>1</v>
      </c>
      <c r="G1130" s="6" t="n">
        <v>4.87</v>
      </c>
      <c r="H1130" s="6" t="n">
        <v>1</v>
      </c>
      <c r="I1130" s="6" t="n">
        <v>4.87</v>
      </c>
      <c r="J1130" s="6" t="n">
        <v>3.87</v>
      </c>
    </row>
    <row collapsed="false" customFormat="false" customHeight="false" hidden="false" ht="12.1" outlineLevel="0" r="1131">
      <c r="A1131" s="35" t="n">
        <v>46675</v>
      </c>
      <c r="B1131" s="16" t="s">
        <v>1375</v>
      </c>
      <c r="C1131" s="16" t="s">
        <v>249</v>
      </c>
      <c r="D1131" s="16" t="s">
        <v>250</v>
      </c>
      <c r="E1131" s="6" t="n">
        <v>1000</v>
      </c>
      <c r="F1131" s="7" t="n">
        <v>1</v>
      </c>
      <c r="G1131" s="6" t="n">
        <v>11.42</v>
      </c>
      <c r="H1131" s="6" t="n">
        <v>1</v>
      </c>
      <c r="I1131" s="6" t="n">
        <v>11.42</v>
      </c>
      <c r="J1131" s="6" t="n">
        <v>10.42</v>
      </c>
    </row>
    <row collapsed="false" customFormat="false" customHeight="false" hidden="false" ht="12.1" outlineLevel="0" r="1132">
      <c r="A1132" s="35" t="n">
        <v>46676</v>
      </c>
      <c r="B1132" s="16" t="s">
        <v>1375</v>
      </c>
      <c r="C1132" s="16" t="s">
        <v>184</v>
      </c>
      <c r="D1132" s="16" t="s">
        <v>185</v>
      </c>
      <c r="E1132" s="6" t="n">
        <v>1000</v>
      </c>
      <c r="F1132" s="7" t="n">
        <v>2</v>
      </c>
      <c r="G1132" s="6" t="n">
        <v>13.68</v>
      </c>
      <c r="H1132" s="6" t="n">
        <v>4</v>
      </c>
      <c r="I1132" s="6" t="n">
        <v>27.36</v>
      </c>
      <c r="J1132" s="6" t="n">
        <v>23.36</v>
      </c>
    </row>
    <row collapsed="false" customFormat="false" customHeight="false" hidden="false" ht="12.1" outlineLevel="0" r="1133">
      <c r="A1133" s="35" t="n">
        <v>46679</v>
      </c>
      <c r="B1133" s="16" t="s">
        <v>1375</v>
      </c>
      <c r="C1133" s="16" t="s">
        <v>205</v>
      </c>
      <c r="D1133" s="16" t="s">
        <v>206</v>
      </c>
      <c r="E1133" s="6" t="n">
        <v>1000</v>
      </c>
      <c r="F1133" s="7" t="n">
        <v>2</v>
      </c>
      <c r="G1133" s="6" t="n">
        <v>64.82</v>
      </c>
      <c r="H1133" s="6" t="n">
        <v>17</v>
      </c>
      <c r="I1133" s="6" t="n">
        <v>129.64</v>
      </c>
      <c r="J1133" s="6" t="n">
        <v>112.64</v>
      </c>
    </row>
    <row collapsed="false" customFormat="false" customHeight="false" hidden="false" ht="12.1" outlineLevel="0" r="1134">
      <c r="A1134" s="35" t="n">
        <v>46679</v>
      </c>
      <c r="B1134" s="16" t="s">
        <v>1375</v>
      </c>
      <c r="C1134" s="16" t="s">
        <v>193</v>
      </c>
      <c r="D1134" s="16" t="s">
        <v>194</v>
      </c>
      <c r="E1134" s="6" t="n">
        <v>1000</v>
      </c>
      <c r="F1134" s="7" t="n">
        <v>2</v>
      </c>
      <c r="G1134" s="6" t="n">
        <v>12.95</v>
      </c>
      <c r="H1134" s="6" t="n">
        <v>3</v>
      </c>
      <c r="I1134" s="6" t="n">
        <v>25.9</v>
      </c>
      <c r="J1134" s="6" t="n">
        <v>22.9</v>
      </c>
    </row>
    <row collapsed="false" customFormat="false" customHeight="false" hidden="false" ht="12.1" outlineLevel="0" r="1135">
      <c r="A1135" s="35" t="n">
        <v>46679</v>
      </c>
      <c r="B1135" s="16" t="s">
        <v>1375</v>
      </c>
      <c r="C1135" s="16" t="s">
        <v>169</v>
      </c>
      <c r="D1135" s="16" t="s">
        <v>170</v>
      </c>
      <c r="E1135" s="6" t="n">
        <v>1000</v>
      </c>
      <c r="F1135" s="7" t="n">
        <v>3</v>
      </c>
      <c r="G1135" s="6" t="n">
        <v>62.33</v>
      </c>
      <c r="H1135" s="6" t="n">
        <v>24</v>
      </c>
      <c r="I1135" s="6" t="n">
        <v>186.99</v>
      </c>
      <c r="J1135" s="6" t="n">
        <v>162.99</v>
      </c>
    </row>
    <row collapsed="false" customFormat="false" customHeight="false" hidden="false" ht="12.1" outlineLevel="0" r="1136">
      <c r="A1136" s="35" t="n">
        <v>46679</v>
      </c>
      <c r="B1136" s="16" t="s">
        <v>1375</v>
      </c>
      <c r="C1136" s="16" t="s">
        <v>208</v>
      </c>
      <c r="D1136" s="16" t="s">
        <v>209</v>
      </c>
      <c r="E1136" s="6" t="n">
        <v>1000</v>
      </c>
      <c r="F1136" s="7" t="n">
        <v>2</v>
      </c>
      <c r="G1136" s="6" t="n">
        <v>64.82</v>
      </c>
      <c r="H1136" s="6" t="n">
        <v>17</v>
      </c>
      <c r="I1136" s="6" t="n">
        <v>129.64</v>
      </c>
      <c r="J1136" s="6" t="n">
        <v>112.64</v>
      </c>
    </row>
    <row collapsed="false" customFormat="false" customHeight="false" hidden="false" ht="12.1" outlineLevel="0" r="1137">
      <c r="A1137" s="35" t="n">
        <v>46681</v>
      </c>
      <c r="B1137" s="16" t="s">
        <v>1375</v>
      </c>
      <c r="C1137" s="16" t="s">
        <v>181</v>
      </c>
      <c r="D1137" s="16" t="s">
        <v>182</v>
      </c>
      <c r="E1137" s="6" t="n">
        <v>1000</v>
      </c>
      <c r="F1137" s="7" t="n">
        <v>2</v>
      </c>
      <c r="G1137" s="6" t="n">
        <v>13.15</v>
      </c>
      <c r="H1137" s="6" t="n">
        <v>3</v>
      </c>
      <c r="I1137" s="6" t="n">
        <v>26.3</v>
      </c>
      <c r="J1137" s="6" t="n">
        <v>23.3</v>
      </c>
    </row>
    <row collapsed="false" customFormat="false" customHeight="false" hidden="false" ht="12.1" outlineLevel="0" r="1138">
      <c r="A1138" s="35" t="n">
        <v>46683</v>
      </c>
      <c r="B1138" s="16" t="s">
        <v>1375</v>
      </c>
      <c r="C1138" s="16" t="s">
        <v>232</v>
      </c>
      <c r="D1138" s="16" t="s">
        <v>233</v>
      </c>
      <c r="E1138" s="6" t="n">
        <v>1000</v>
      </c>
      <c r="F1138" s="7" t="n">
        <v>2</v>
      </c>
      <c r="G1138" s="6" t="n">
        <v>1.64</v>
      </c>
      <c r="H1138" s="6" t="n">
        <v>0</v>
      </c>
      <c r="I1138" s="6" t="n">
        <v>3.28</v>
      </c>
      <c r="J1138" s="6" t="n">
        <v>3.28</v>
      </c>
    </row>
    <row collapsed="false" customFormat="false" customHeight="false" hidden="false" ht="12.1" outlineLevel="0" r="1139">
      <c r="A1139" s="35" t="n">
        <v>46685</v>
      </c>
      <c r="B1139" s="16" t="s">
        <v>1375</v>
      </c>
      <c r="C1139" s="16" t="s">
        <v>226</v>
      </c>
      <c r="D1139" s="16" t="s">
        <v>227</v>
      </c>
      <c r="E1139" s="6" t="n">
        <v>875</v>
      </c>
      <c r="F1139" s="7" t="n">
        <v>2</v>
      </c>
      <c r="G1139" s="6" t="n">
        <v>3.65</v>
      </c>
      <c r="H1139" s="6" t="n">
        <v>1</v>
      </c>
      <c r="I1139" s="6" t="n">
        <v>7.3</v>
      </c>
      <c r="J1139" s="6" t="n">
        <v>6.3</v>
      </c>
    </row>
    <row collapsed="false" customFormat="false" customHeight="false" hidden="false" ht="12.1" outlineLevel="0" r="1140">
      <c r="A1140" s="35" t="n">
        <v>46692</v>
      </c>
      <c r="B1140" s="16" t="s">
        <v>1375</v>
      </c>
      <c r="C1140" s="16" t="s">
        <v>254</v>
      </c>
      <c r="D1140" s="16" t="s">
        <v>255</v>
      </c>
      <c r="E1140" s="6" t="n">
        <v>1000</v>
      </c>
      <c r="F1140" s="7" t="n">
        <v>1</v>
      </c>
      <c r="G1140" s="6" t="n">
        <v>11.38</v>
      </c>
      <c r="H1140" s="6" t="n">
        <v>1</v>
      </c>
      <c r="I1140" s="6" t="n">
        <v>11.38</v>
      </c>
      <c r="J1140" s="6" t="n">
        <v>10.38</v>
      </c>
    </row>
    <row collapsed="false" customFormat="false" customHeight="false" hidden="false" ht="12.1" outlineLevel="0" r="1141">
      <c r="A1141" s="35" t="n">
        <v>46695</v>
      </c>
      <c r="B1141" s="16" t="s">
        <v>1375</v>
      </c>
      <c r="C1141" s="16" t="s">
        <v>223</v>
      </c>
      <c r="D1141" s="16" t="s">
        <v>224</v>
      </c>
      <c r="E1141" s="6" t="n">
        <v>1000</v>
      </c>
      <c r="F1141" s="7" t="n">
        <v>2</v>
      </c>
      <c r="G1141" s="6" t="n">
        <v>45.38</v>
      </c>
      <c r="H1141" s="6" t="n">
        <v>12</v>
      </c>
      <c r="I1141" s="6" t="n">
        <v>90.76</v>
      </c>
      <c r="J1141" s="6" t="n">
        <v>78.76</v>
      </c>
    </row>
    <row collapsed="false" customFormat="false" customHeight="false" hidden="false" ht="12.1" outlineLevel="0" r="1142">
      <c r="A1142" s="35" t="n">
        <v>46698</v>
      </c>
      <c r="B1142" s="16" t="s">
        <v>1375</v>
      </c>
      <c r="C1142" s="16" t="s">
        <v>246</v>
      </c>
      <c r="D1142" s="16" t="s">
        <v>247</v>
      </c>
      <c r="E1142" s="6" t="n">
        <v>1000</v>
      </c>
      <c r="F1142" s="7" t="n">
        <v>1</v>
      </c>
      <c r="G1142" s="6" t="n">
        <v>20.96</v>
      </c>
      <c r="H1142" s="6" t="n">
        <v>3</v>
      </c>
      <c r="I1142" s="6" t="n">
        <v>20.96</v>
      </c>
      <c r="J1142" s="6" t="n">
        <v>17.96</v>
      </c>
    </row>
    <row collapsed="false" customFormat="false" customHeight="false" hidden="false" ht="12.1" outlineLevel="0" r="1143">
      <c r="A1143" s="35" t="n">
        <v>46700</v>
      </c>
      <c r="B1143" s="16" t="s">
        <v>1375</v>
      </c>
      <c r="C1143" s="16" t="s">
        <v>109</v>
      </c>
      <c r="D1143" s="16" t="s">
        <v>110</v>
      </c>
      <c r="E1143" s="6" t="n">
        <v>1000</v>
      </c>
      <c r="F1143" s="7" t="n">
        <v>11</v>
      </c>
      <c r="G1143" s="6" t="n">
        <v>99.18</v>
      </c>
      <c r="H1143" s="6" t="n">
        <v>142</v>
      </c>
      <c r="I1143" s="6" t="n">
        <v>1090.98</v>
      </c>
      <c r="J1143" s="6" t="n">
        <v>948.98</v>
      </c>
    </row>
    <row collapsed="false" customFormat="false" customHeight="false" hidden="false" ht="12.1" outlineLevel="0" r="1144">
      <c r="A1144" s="35" t="n">
        <v>46702</v>
      </c>
      <c r="B1144" s="16" t="s">
        <v>1375</v>
      </c>
      <c r="C1144" s="16" t="s">
        <v>190</v>
      </c>
      <c r="D1144" s="16" t="s">
        <v>191</v>
      </c>
      <c r="E1144" s="6" t="n">
        <v>1000</v>
      </c>
      <c r="F1144" s="7" t="n">
        <v>2</v>
      </c>
      <c r="G1144" s="6" t="n">
        <v>13.77</v>
      </c>
      <c r="H1144" s="6" t="n">
        <v>4</v>
      </c>
      <c r="I1144" s="6" t="n">
        <v>27.54</v>
      </c>
      <c r="J1144" s="6" t="n">
        <v>23.54</v>
      </c>
    </row>
    <row collapsed="false" customFormat="false" customHeight="false" hidden="false" ht="12.1" outlineLevel="0" r="1145">
      <c r="A1145" s="35" t="n">
        <v>46703</v>
      </c>
      <c r="B1145" s="16" t="s">
        <v>1375</v>
      </c>
      <c r="C1145" s="16" t="s">
        <v>263</v>
      </c>
      <c r="D1145" s="16" t="s">
        <v>264</v>
      </c>
      <c r="E1145" s="6" t="n">
        <v>1000</v>
      </c>
      <c r="F1145" s="7" t="n">
        <v>1</v>
      </c>
      <c r="G1145" s="6" t="n">
        <v>12.66</v>
      </c>
      <c r="H1145" s="6" t="n">
        <v>2</v>
      </c>
      <c r="I1145" s="6" t="n">
        <v>12.66</v>
      </c>
      <c r="J1145" s="6" t="n">
        <v>10.66</v>
      </c>
    </row>
    <row collapsed="false" customFormat="false" customHeight="false" hidden="false" ht="12.1" outlineLevel="0" r="1146">
      <c r="A1146" s="35" t="n">
        <v>46704</v>
      </c>
      <c r="B1146" s="16" t="s">
        <v>1375</v>
      </c>
      <c r="C1146" s="16" t="s">
        <v>243</v>
      </c>
      <c r="D1146" s="16" t="s">
        <v>244</v>
      </c>
      <c r="E1146" s="6" t="n">
        <v>1000</v>
      </c>
      <c r="F1146" s="7" t="n">
        <v>1</v>
      </c>
      <c r="G1146" s="6" t="n">
        <v>14.79</v>
      </c>
      <c r="H1146" s="6" t="n">
        <v>2</v>
      </c>
      <c r="I1146" s="6" t="n">
        <v>14.79</v>
      </c>
      <c r="J1146" s="6" t="n">
        <v>12.79</v>
      </c>
    </row>
    <row collapsed="false" customFormat="false" customHeight="false" hidden="false" ht="12.1" outlineLevel="0" r="1147">
      <c r="A1147" s="35" t="n">
        <v>46705</v>
      </c>
      <c r="B1147" s="16" t="s">
        <v>1375</v>
      </c>
      <c r="C1147" s="16" t="s">
        <v>252</v>
      </c>
      <c r="D1147" s="16" t="s">
        <v>253</v>
      </c>
      <c r="E1147" s="6" t="n">
        <v>1000</v>
      </c>
      <c r="F1147" s="7" t="n">
        <v>1</v>
      </c>
      <c r="G1147" s="6" t="n">
        <v>4.87</v>
      </c>
      <c r="H1147" s="6" t="n">
        <v>1</v>
      </c>
      <c r="I1147" s="6" t="n">
        <v>4.87</v>
      </c>
      <c r="J1147" s="6" t="n">
        <v>3.87</v>
      </c>
    </row>
    <row collapsed="false" customFormat="false" customHeight="false" hidden="false" ht="12.1" outlineLevel="0" r="1148">
      <c r="A1148" s="35" t="n">
        <v>46705</v>
      </c>
      <c r="B1148" s="16" t="s">
        <v>1375</v>
      </c>
      <c r="C1148" s="16" t="s">
        <v>249</v>
      </c>
      <c r="D1148" s="16" t="s">
        <v>250</v>
      </c>
      <c r="E1148" s="6" t="n">
        <v>1000</v>
      </c>
      <c r="F1148" s="7" t="n">
        <v>1</v>
      </c>
      <c r="G1148" s="6" t="n">
        <v>11.42</v>
      </c>
      <c r="H1148" s="6" t="n">
        <v>1</v>
      </c>
      <c r="I1148" s="6" t="n">
        <v>11.42</v>
      </c>
      <c r="J1148" s="6" t="n">
        <v>10.42</v>
      </c>
    </row>
    <row collapsed="false" customFormat="false" customHeight="false" hidden="false" ht="12.1" outlineLevel="0" r="1149">
      <c r="A1149" s="35" t="n">
        <v>46706</v>
      </c>
      <c r="B1149" s="16" t="s">
        <v>1375</v>
      </c>
      <c r="C1149" s="16" t="s">
        <v>184</v>
      </c>
      <c r="D1149" s="16" t="s">
        <v>185</v>
      </c>
      <c r="E1149" s="6" t="n">
        <v>1000</v>
      </c>
      <c r="F1149" s="7" t="n">
        <v>2</v>
      </c>
      <c r="G1149" s="6" t="n">
        <v>13.68</v>
      </c>
      <c r="H1149" s="6" t="n">
        <v>4</v>
      </c>
      <c r="I1149" s="6" t="n">
        <v>27.36</v>
      </c>
      <c r="J1149" s="6" t="n">
        <v>23.36</v>
      </c>
    </row>
    <row collapsed="false" customFormat="false" customHeight="false" hidden="false" ht="12.1" outlineLevel="0" r="1150">
      <c r="A1150" s="35" t="n">
        <v>46707</v>
      </c>
      <c r="B1150" s="16" t="s">
        <v>1375</v>
      </c>
      <c r="C1150" s="16" t="s">
        <v>139</v>
      </c>
      <c r="D1150" s="16" t="s">
        <v>140</v>
      </c>
      <c r="E1150" s="6" t="n">
        <v>1242.73</v>
      </c>
      <c r="F1150" s="7" t="n">
        <v>6</v>
      </c>
      <c r="G1150" s="6" t="n">
        <v>15.55</v>
      </c>
      <c r="H1150" s="6" t="n">
        <v>12</v>
      </c>
      <c r="I1150" s="6" t="n">
        <v>93.3</v>
      </c>
      <c r="J1150" s="6" t="n">
        <v>81.3</v>
      </c>
    </row>
    <row collapsed="false" customFormat="false" customHeight="false" hidden="false" ht="12.1" outlineLevel="0" r="1151">
      <c r="A1151" s="35" t="n">
        <v>46707</v>
      </c>
      <c r="B1151" s="16" t="s">
        <v>1375</v>
      </c>
      <c r="C1151" s="16" t="s">
        <v>136</v>
      </c>
      <c r="D1151" s="16" t="s">
        <v>137</v>
      </c>
      <c r="E1151" s="6" t="n">
        <v>1000</v>
      </c>
      <c r="F1151" s="7" t="n">
        <v>14</v>
      </c>
      <c r="G1151" s="6" t="n">
        <v>36.15</v>
      </c>
      <c r="H1151" s="6" t="n">
        <v>66</v>
      </c>
      <c r="I1151" s="6" t="n">
        <v>506.1</v>
      </c>
      <c r="J1151" s="6" t="n">
        <v>440.1</v>
      </c>
    </row>
    <row collapsed="false" customFormat="false" customHeight="false" hidden="false" ht="12.1" outlineLevel="0" r="1152">
      <c r="A1152" s="35" t="n">
        <v>46708</v>
      </c>
      <c r="B1152" s="16" t="s">
        <v>1375</v>
      </c>
      <c r="C1152" s="16" t="s">
        <v>331</v>
      </c>
      <c r="D1152" s="16" t="s">
        <v>332</v>
      </c>
      <c r="E1152" s="6" t="n">
        <v>250</v>
      </c>
      <c r="F1152" s="7" t="n">
        <v>1</v>
      </c>
      <c r="G1152" s="6" t="n">
        <v>2.17</v>
      </c>
      <c r="H1152" s="6" t="n">
        <v>0</v>
      </c>
      <c r="I1152" s="6" t="n">
        <v>2.17</v>
      </c>
      <c r="J1152" s="6" t="n">
        <v>2.17</v>
      </c>
    </row>
    <row collapsed="false" customFormat="false" customHeight="false" hidden="false" ht="12.1" outlineLevel="0" r="1153">
      <c r="A1153" s="35" t="n">
        <v>46708</v>
      </c>
      <c r="B1153" s="16" t="s">
        <v>1375</v>
      </c>
      <c r="C1153" s="16" t="s">
        <v>187</v>
      </c>
      <c r="D1153" s="16" t="s">
        <v>188</v>
      </c>
      <c r="E1153" s="6" t="n">
        <v>1000</v>
      </c>
      <c r="F1153" s="7" t="n">
        <v>2</v>
      </c>
      <c r="G1153" s="6" t="n">
        <v>39.87</v>
      </c>
      <c r="H1153" s="6" t="n">
        <v>10</v>
      </c>
      <c r="I1153" s="6" t="n">
        <v>79.74</v>
      </c>
      <c r="J1153" s="6" t="n">
        <v>69.74</v>
      </c>
    </row>
    <row collapsed="false" customFormat="false" customHeight="false" hidden="false" ht="12.1" outlineLevel="0" r="1154">
      <c r="A1154" s="35" t="n">
        <v>46709</v>
      </c>
      <c r="B1154" s="16" t="s">
        <v>1375</v>
      </c>
      <c r="C1154" s="16" t="s">
        <v>193</v>
      </c>
      <c r="D1154" s="16" t="s">
        <v>194</v>
      </c>
      <c r="E1154" s="6" t="n">
        <v>1000</v>
      </c>
      <c r="F1154" s="7" t="n">
        <v>2</v>
      </c>
      <c r="G1154" s="6" t="n">
        <v>12.95</v>
      </c>
      <c r="H1154" s="6" t="n">
        <v>3</v>
      </c>
      <c r="I1154" s="6" t="n">
        <v>25.9</v>
      </c>
      <c r="J1154" s="6" t="n">
        <v>22.9</v>
      </c>
    </row>
    <row collapsed="false" customFormat="false" customHeight="false" hidden="false" ht="12.1" outlineLevel="0" r="1155">
      <c r="A1155" s="35" t="n">
        <v>46711</v>
      </c>
      <c r="B1155" s="16" t="s">
        <v>1375</v>
      </c>
      <c r="C1155" s="16" t="s">
        <v>181</v>
      </c>
      <c r="D1155" s="16" t="s">
        <v>182</v>
      </c>
      <c r="E1155" s="6" t="n">
        <v>1000</v>
      </c>
      <c r="F1155" s="7" t="n">
        <v>2</v>
      </c>
      <c r="G1155" s="6" t="n">
        <v>13.15</v>
      </c>
      <c r="H1155" s="6" t="n">
        <v>3</v>
      </c>
      <c r="I1155" s="6" t="n">
        <v>26.3</v>
      </c>
      <c r="J1155" s="6" t="n">
        <v>23.3</v>
      </c>
    </row>
    <row collapsed="false" customFormat="false" customHeight="false" hidden="false" ht="12.1" outlineLevel="0" r="1156">
      <c r="A1156" s="35" t="n">
        <v>46713</v>
      </c>
      <c r="B1156" s="16" t="s">
        <v>1375</v>
      </c>
      <c r="C1156" s="16" t="s">
        <v>172</v>
      </c>
      <c r="D1156" s="16" t="s">
        <v>173</v>
      </c>
      <c r="E1156" s="6" t="n">
        <v>1000</v>
      </c>
      <c r="F1156" s="7" t="n">
        <v>3</v>
      </c>
      <c r="G1156" s="6" t="n">
        <v>24.93</v>
      </c>
      <c r="H1156" s="6" t="n">
        <v>10</v>
      </c>
      <c r="I1156" s="6" t="n">
        <v>74.79</v>
      </c>
      <c r="J1156" s="6" t="n">
        <v>64.79</v>
      </c>
    </row>
    <row collapsed="false" customFormat="false" customHeight="false" hidden="false" ht="12.1" outlineLevel="0" r="1157">
      <c r="A1157" s="35" t="n">
        <v>46713</v>
      </c>
      <c r="B1157" s="16" t="s">
        <v>1375</v>
      </c>
      <c r="C1157" s="16" t="s">
        <v>232</v>
      </c>
      <c r="D1157" s="16" t="s">
        <v>233</v>
      </c>
      <c r="E1157" s="6" t="n">
        <v>1000</v>
      </c>
      <c r="F1157" s="7" t="n">
        <v>2</v>
      </c>
      <c r="G1157" s="6" t="n">
        <v>1.64</v>
      </c>
      <c r="H1157" s="6" t="n">
        <v>0</v>
      </c>
      <c r="I1157" s="6" t="n">
        <v>3.28</v>
      </c>
      <c r="J1157" s="6" t="n">
        <v>3.28</v>
      </c>
    </row>
    <row collapsed="false" customFormat="false" customHeight="false" hidden="false" ht="12.1" outlineLevel="0" r="1158">
      <c r="A1158" s="35" t="n">
        <v>46714</v>
      </c>
      <c r="B1158" s="16" t="s">
        <v>1375</v>
      </c>
      <c r="C1158" s="16" t="s">
        <v>115</v>
      </c>
      <c r="D1158" s="16" t="s">
        <v>116</v>
      </c>
      <c r="E1158" s="6" t="n">
        <v>1000</v>
      </c>
      <c r="F1158" s="7" t="n">
        <v>13</v>
      </c>
      <c r="G1158" s="6" t="n">
        <v>61.08</v>
      </c>
      <c r="H1158" s="6" t="n">
        <v>103</v>
      </c>
      <c r="I1158" s="6" t="n">
        <v>794.04</v>
      </c>
      <c r="J1158" s="6" t="n">
        <v>691.04</v>
      </c>
    </row>
    <row collapsed="false" customFormat="false" customHeight="false" hidden="false" ht="12.1" outlineLevel="0" r="1159">
      <c r="A1159" s="35" t="n">
        <v>46714</v>
      </c>
      <c r="B1159" s="16" t="s">
        <v>1375</v>
      </c>
      <c r="C1159" s="16" t="s">
        <v>118</v>
      </c>
      <c r="D1159" s="16" t="s">
        <v>119</v>
      </c>
      <c r="E1159" s="6" t="n">
        <v>1000</v>
      </c>
      <c r="F1159" s="7" t="n">
        <v>14</v>
      </c>
      <c r="G1159" s="6" t="n">
        <v>47.37</v>
      </c>
      <c r="H1159" s="6" t="n">
        <v>86</v>
      </c>
      <c r="I1159" s="6" t="n">
        <v>663.18</v>
      </c>
      <c r="J1159" s="6" t="n">
        <v>577.18</v>
      </c>
    </row>
    <row collapsed="false" customFormat="false" customHeight="false" hidden="false" ht="12.1" outlineLevel="0" r="1160">
      <c r="A1160" s="35" t="n">
        <v>46720</v>
      </c>
      <c r="B1160" s="16" t="s">
        <v>1375</v>
      </c>
      <c r="C1160" s="16" t="s">
        <v>211</v>
      </c>
      <c r="D1160" s="16" t="s">
        <v>212</v>
      </c>
      <c r="E1160" s="6" t="n">
        <v>1000</v>
      </c>
      <c r="F1160" s="7" t="n">
        <v>2</v>
      </c>
      <c r="G1160" s="6" t="n">
        <v>56.1</v>
      </c>
      <c r="H1160" s="6" t="n">
        <v>15</v>
      </c>
      <c r="I1160" s="6" t="n">
        <v>112.2</v>
      </c>
      <c r="J1160" s="6" t="n">
        <v>97.2</v>
      </c>
    </row>
    <row collapsed="false" customFormat="false" customHeight="false" hidden="false" ht="12.1" outlineLevel="0" r="1161">
      <c r="A1161" s="35" t="n">
        <v>46721</v>
      </c>
      <c r="B1161" s="16" t="s">
        <v>1375</v>
      </c>
      <c r="C1161" s="16" t="s">
        <v>100</v>
      </c>
      <c r="D1161" s="16" t="s">
        <v>101</v>
      </c>
      <c r="E1161" s="6" t="n">
        <v>1000</v>
      </c>
      <c r="F1161" s="7" t="n">
        <v>14</v>
      </c>
      <c r="G1161" s="6" t="n">
        <v>61.08</v>
      </c>
      <c r="H1161" s="6" t="n">
        <v>111</v>
      </c>
      <c r="I1161" s="6" t="n">
        <v>855.12</v>
      </c>
      <c r="J1161" s="6" t="n">
        <v>744.12</v>
      </c>
    </row>
    <row collapsed="false" customFormat="false" customHeight="false" hidden="false" ht="12.1" outlineLevel="0" r="1162">
      <c r="A1162" s="35" t="n">
        <v>46721</v>
      </c>
      <c r="B1162" s="16" t="s">
        <v>1375</v>
      </c>
      <c r="C1162" s="16" t="s">
        <v>94</v>
      </c>
      <c r="D1162" s="16" t="s">
        <v>95</v>
      </c>
      <c r="E1162" s="6" t="n">
        <v>1000</v>
      </c>
      <c r="F1162" s="7" t="n">
        <v>23</v>
      </c>
      <c r="G1162" s="6" t="n">
        <v>35.4</v>
      </c>
      <c r="H1162" s="6" t="n">
        <v>106</v>
      </c>
      <c r="I1162" s="6" t="n">
        <v>814.2</v>
      </c>
      <c r="J1162" s="6" t="n">
        <v>708.2</v>
      </c>
    </row>
    <row collapsed="false" customFormat="false" customHeight="false" hidden="false" ht="12.1" outlineLevel="0" r="1163">
      <c r="A1163" s="35" t="n">
        <v>46721</v>
      </c>
      <c r="B1163" s="16" t="s">
        <v>1375</v>
      </c>
      <c r="C1163" s="16" t="s">
        <v>91</v>
      </c>
      <c r="D1163" s="16" t="s">
        <v>92</v>
      </c>
      <c r="E1163" s="6" t="n">
        <v>1000</v>
      </c>
      <c r="F1163" s="7" t="n">
        <v>19</v>
      </c>
      <c r="G1163" s="6" t="n">
        <v>48.87</v>
      </c>
      <c r="H1163" s="6" t="n">
        <v>121</v>
      </c>
      <c r="I1163" s="6" t="n">
        <v>928.53</v>
      </c>
      <c r="J1163" s="6" t="n">
        <v>807.53</v>
      </c>
    </row>
    <row collapsed="false" customFormat="false" customHeight="false" hidden="false" ht="12.1" outlineLevel="0" r="1164">
      <c r="A1164" s="35" t="n">
        <v>46721</v>
      </c>
      <c r="B1164" s="16" t="s">
        <v>1375</v>
      </c>
      <c r="C1164" s="16" t="s">
        <v>329</v>
      </c>
      <c r="D1164" s="16" t="s">
        <v>330</v>
      </c>
      <c r="E1164" s="6" t="n">
        <v>1000</v>
      </c>
      <c r="F1164" s="7" t="n">
        <v>1</v>
      </c>
      <c r="G1164" s="6" t="n">
        <v>19.87</v>
      </c>
      <c r="H1164" s="6" t="n">
        <v>3</v>
      </c>
      <c r="I1164" s="6" t="n">
        <v>19.87</v>
      </c>
      <c r="J1164" s="6" t="n">
        <v>16.87</v>
      </c>
    </row>
    <row collapsed="false" customFormat="false" customHeight="false" hidden="false" ht="12.1" outlineLevel="0" r="1165">
      <c r="A1165" s="35" t="n">
        <v>46722</v>
      </c>
      <c r="B1165" s="16" t="s">
        <v>1375</v>
      </c>
      <c r="C1165" s="16" t="s">
        <v>254</v>
      </c>
      <c r="D1165" s="16" t="s">
        <v>255</v>
      </c>
      <c r="E1165" s="6" t="n">
        <v>1000</v>
      </c>
      <c r="F1165" s="7" t="n">
        <v>1</v>
      </c>
      <c r="G1165" s="6" t="n">
        <v>11.38</v>
      </c>
      <c r="H1165" s="6" t="n">
        <v>1</v>
      </c>
      <c r="I1165" s="6" t="n">
        <v>11.38</v>
      </c>
      <c r="J1165" s="6" t="n">
        <v>10.38</v>
      </c>
    </row>
    <row collapsed="false" customFormat="false" customHeight="false" hidden="false" ht="12.1" outlineLevel="0" r="1166">
      <c r="A1166" s="35" t="n">
        <v>46728</v>
      </c>
      <c r="B1166" s="16" t="s">
        <v>1375</v>
      </c>
      <c r="C1166" s="16" t="s">
        <v>246</v>
      </c>
      <c r="D1166" s="16" t="s">
        <v>247</v>
      </c>
      <c r="E1166" s="6" t="n">
        <v>1000</v>
      </c>
      <c r="F1166" s="7" t="n">
        <v>1</v>
      </c>
      <c r="G1166" s="6" t="n">
        <v>20.96</v>
      </c>
      <c r="H1166" s="6" t="n">
        <v>3</v>
      </c>
      <c r="I1166" s="6" t="n">
        <v>20.96</v>
      </c>
      <c r="J1166" s="6" t="n">
        <v>17.96</v>
      </c>
    </row>
    <row collapsed="false" customFormat="false" customHeight="false" hidden="false" ht="12.1" outlineLevel="0" r="1167">
      <c r="A1167" s="35" t="n">
        <v>46730</v>
      </c>
      <c r="B1167" s="16" t="s">
        <v>1375</v>
      </c>
      <c r="C1167" s="16" t="s">
        <v>229</v>
      </c>
      <c r="D1167" s="16" t="s">
        <v>230</v>
      </c>
      <c r="E1167" s="6" t="n">
        <v>1000</v>
      </c>
      <c r="F1167" s="7" t="n">
        <v>2</v>
      </c>
      <c r="G1167" s="6" t="n">
        <v>17.83</v>
      </c>
      <c r="H1167" s="6" t="n">
        <v>5</v>
      </c>
      <c r="I1167" s="6" t="n">
        <v>35.66</v>
      </c>
      <c r="J1167" s="6" t="n">
        <v>30.66</v>
      </c>
    </row>
    <row collapsed="false" customFormat="false" customHeight="false" hidden="false" ht="12.1" outlineLevel="0" r="1168">
      <c r="A1168" s="35" t="n">
        <v>46732</v>
      </c>
      <c r="B1168" s="16" t="s">
        <v>1375</v>
      </c>
      <c r="C1168" s="16" t="s">
        <v>190</v>
      </c>
      <c r="D1168" s="16" t="s">
        <v>191</v>
      </c>
      <c r="E1168" s="6" t="n">
        <v>1000</v>
      </c>
      <c r="F1168" s="7" t="n">
        <v>2</v>
      </c>
      <c r="G1168" s="6" t="n">
        <v>13.77</v>
      </c>
      <c r="H1168" s="6" t="n">
        <v>4</v>
      </c>
      <c r="I1168" s="6" t="n">
        <v>27.54</v>
      </c>
      <c r="J1168" s="6" t="n">
        <v>23.54</v>
      </c>
    </row>
    <row collapsed="false" customFormat="false" customHeight="false" hidden="false" ht="12.1" outlineLevel="0" r="1169">
      <c r="A1169" s="35" t="n">
        <v>46733</v>
      </c>
      <c r="B1169" s="16" t="s">
        <v>1375</v>
      </c>
      <c r="C1169" s="16" t="s">
        <v>263</v>
      </c>
      <c r="D1169" s="16" t="s">
        <v>264</v>
      </c>
      <c r="E1169" s="6" t="n">
        <v>1000</v>
      </c>
      <c r="F1169" s="7" t="n">
        <v>1</v>
      </c>
      <c r="G1169" s="6" t="n">
        <v>12.66</v>
      </c>
      <c r="H1169" s="6" t="n">
        <v>2</v>
      </c>
      <c r="I1169" s="6" t="n">
        <v>12.66</v>
      </c>
      <c r="J1169" s="6" t="n">
        <v>10.66</v>
      </c>
    </row>
    <row collapsed="false" customFormat="false" customHeight="false" hidden="false" ht="12.1" outlineLevel="0" r="1170">
      <c r="A1170" s="35" t="n">
        <v>46734</v>
      </c>
      <c r="B1170" s="16" t="s">
        <v>1375</v>
      </c>
      <c r="C1170" s="16" t="s">
        <v>243</v>
      </c>
      <c r="D1170" s="16" t="s">
        <v>244</v>
      </c>
      <c r="E1170" s="6" t="n">
        <v>1000</v>
      </c>
      <c r="F1170" s="7" t="n">
        <v>1</v>
      </c>
      <c r="G1170" s="6" t="n">
        <v>14.79</v>
      </c>
      <c r="H1170" s="6" t="n">
        <v>2</v>
      </c>
      <c r="I1170" s="6" t="n">
        <v>14.79</v>
      </c>
      <c r="J1170" s="6" t="n">
        <v>12.79</v>
      </c>
    </row>
    <row collapsed="false" customFormat="false" customHeight="false" hidden="false" ht="12.1" outlineLevel="0" r="1171">
      <c r="A1171" s="35" t="n">
        <v>46735</v>
      </c>
      <c r="B1171" s="16" t="s">
        <v>1375</v>
      </c>
      <c r="C1171" s="16" t="s">
        <v>252</v>
      </c>
      <c r="D1171" s="16" t="s">
        <v>253</v>
      </c>
      <c r="E1171" s="6" t="n">
        <v>1000</v>
      </c>
      <c r="F1171" s="7" t="n">
        <v>1</v>
      </c>
      <c r="G1171" s="6" t="n">
        <v>2.43</v>
      </c>
      <c r="H1171" s="6" t="n">
        <v>0</v>
      </c>
      <c r="I1171" s="6" t="n">
        <v>2.43</v>
      </c>
      <c r="J1171" s="6" t="n">
        <v>2.43</v>
      </c>
    </row>
    <row collapsed="false" customFormat="false" customHeight="false" hidden="false" ht="12.1" outlineLevel="0" r="1172">
      <c r="A1172" s="35" t="n">
        <v>46735</v>
      </c>
      <c r="B1172" s="16" t="s">
        <v>1375</v>
      </c>
      <c r="C1172" s="16" t="s">
        <v>249</v>
      </c>
      <c r="D1172" s="16" t="s">
        <v>250</v>
      </c>
      <c r="E1172" s="6" t="n">
        <v>1000</v>
      </c>
      <c r="F1172" s="7" t="n">
        <v>1</v>
      </c>
      <c r="G1172" s="6" t="n">
        <v>11.42</v>
      </c>
      <c r="H1172" s="6" t="n">
        <v>1</v>
      </c>
      <c r="I1172" s="6" t="n">
        <v>11.42</v>
      </c>
      <c r="J1172" s="6" t="n">
        <v>10.42</v>
      </c>
    </row>
    <row collapsed="false" customFormat="false" customHeight="false" hidden="false" ht="12.1" outlineLevel="0" r="1173">
      <c r="A1173" s="35" t="n">
        <v>46735</v>
      </c>
      <c r="B1173" s="16" t="s">
        <v>1375</v>
      </c>
      <c r="C1173" s="16" t="s">
        <v>88</v>
      </c>
      <c r="D1173" s="16" t="s">
        <v>89</v>
      </c>
      <c r="E1173" s="6" t="n">
        <v>1000</v>
      </c>
      <c r="F1173" s="7" t="n">
        <v>14</v>
      </c>
      <c r="G1173" s="6" t="n">
        <v>95.44</v>
      </c>
      <c r="H1173" s="6" t="n">
        <v>174</v>
      </c>
      <c r="I1173" s="6" t="n">
        <v>1336.16</v>
      </c>
      <c r="J1173" s="6" t="n">
        <v>1162.16</v>
      </c>
    </row>
    <row collapsed="false" customFormat="false" customHeight="false" hidden="false" ht="12.1" outlineLevel="0" r="1174">
      <c r="A1174" s="35" t="n">
        <v>46736</v>
      </c>
      <c r="B1174" s="16" t="s">
        <v>1375</v>
      </c>
      <c r="C1174" s="16" t="s">
        <v>184</v>
      </c>
      <c r="D1174" s="16" t="s">
        <v>185</v>
      </c>
      <c r="E1174" s="6" t="n">
        <v>1000</v>
      </c>
      <c r="F1174" s="7" t="n">
        <v>2</v>
      </c>
      <c r="G1174" s="6" t="n">
        <v>13.68</v>
      </c>
      <c r="H1174" s="6" t="n">
        <v>4</v>
      </c>
      <c r="I1174" s="6" t="n">
        <v>27.36</v>
      </c>
      <c r="J1174" s="6" t="n">
        <v>23.36</v>
      </c>
    </row>
    <row collapsed="false" customFormat="false" customHeight="false" hidden="false" ht="12.1" outlineLevel="0" r="1175">
      <c r="A1175" s="35" t="n">
        <v>46739</v>
      </c>
      <c r="B1175" s="16" t="s">
        <v>1375</v>
      </c>
      <c r="C1175" s="16" t="s">
        <v>193</v>
      </c>
      <c r="D1175" s="16" t="s">
        <v>194</v>
      </c>
      <c r="E1175" s="6" t="n">
        <v>1000</v>
      </c>
      <c r="F1175" s="7" t="n">
        <v>2</v>
      </c>
      <c r="G1175" s="6" t="n">
        <v>12.95</v>
      </c>
      <c r="H1175" s="6" t="n">
        <v>3</v>
      </c>
      <c r="I1175" s="6" t="n">
        <v>25.9</v>
      </c>
      <c r="J1175" s="6" t="n">
        <v>22.9</v>
      </c>
    </row>
    <row collapsed="false" customFormat="false" customHeight="false" hidden="false" ht="12.1" outlineLevel="0" r="1176">
      <c r="A1176" s="35" t="n">
        <v>46741</v>
      </c>
      <c r="B1176" s="16" t="s">
        <v>1375</v>
      </c>
      <c r="C1176" s="16" t="s">
        <v>181</v>
      </c>
      <c r="D1176" s="16" t="s">
        <v>182</v>
      </c>
      <c r="E1176" s="6" t="n">
        <v>1000</v>
      </c>
      <c r="F1176" s="7" t="n">
        <v>2</v>
      </c>
      <c r="G1176" s="6" t="n">
        <v>13.15</v>
      </c>
      <c r="H1176" s="6" t="n">
        <v>3</v>
      </c>
      <c r="I1176" s="6" t="n">
        <v>26.3</v>
      </c>
      <c r="J1176" s="6" t="n">
        <v>23.3</v>
      </c>
    </row>
    <row collapsed="false" customFormat="false" customHeight="false" hidden="false" ht="12.1" outlineLevel="0" r="1177">
      <c r="A1177" s="35" t="n">
        <v>46742</v>
      </c>
      <c r="B1177" s="16" t="s">
        <v>1375</v>
      </c>
      <c r="C1177" s="16" t="s">
        <v>148</v>
      </c>
      <c r="D1177" s="16" t="s">
        <v>149</v>
      </c>
      <c r="E1177" s="6" t="n">
        <v>1000</v>
      </c>
      <c r="F1177" s="7" t="n">
        <v>6</v>
      </c>
      <c r="G1177" s="6" t="n">
        <v>54.85</v>
      </c>
      <c r="H1177" s="6" t="n">
        <v>43</v>
      </c>
      <c r="I1177" s="6" t="n">
        <v>329.1</v>
      </c>
      <c r="J1177" s="6" t="n">
        <v>286.1</v>
      </c>
    </row>
    <row collapsed="false" customFormat="false" customHeight="false" hidden="false" ht="12.1" outlineLevel="0" r="1178">
      <c r="A1178" s="35" t="n">
        <v>46742</v>
      </c>
      <c r="B1178" s="16" t="s">
        <v>1375</v>
      </c>
      <c r="C1178" s="16" t="s">
        <v>145</v>
      </c>
      <c r="D1178" s="16" t="s">
        <v>146</v>
      </c>
      <c r="E1178" s="6" t="n">
        <v>1000</v>
      </c>
      <c r="F1178" s="7" t="n">
        <v>6</v>
      </c>
      <c r="G1178" s="6" t="n">
        <v>59.84</v>
      </c>
      <c r="H1178" s="6" t="n">
        <v>47</v>
      </c>
      <c r="I1178" s="6" t="n">
        <v>359.04</v>
      </c>
      <c r="J1178" s="6" t="n">
        <v>312.04</v>
      </c>
    </row>
    <row collapsed="false" customFormat="false" customHeight="false" hidden="false" ht="12.1" outlineLevel="0" r="1179">
      <c r="A1179" s="35" t="n">
        <v>46743</v>
      </c>
      <c r="B1179" s="16" t="s">
        <v>1375</v>
      </c>
      <c r="C1179" s="16" t="s">
        <v>232</v>
      </c>
      <c r="D1179" s="16" t="s">
        <v>233</v>
      </c>
      <c r="E1179" s="6" t="n">
        <v>1000</v>
      </c>
      <c r="F1179" s="7" t="n">
        <v>2</v>
      </c>
      <c r="G1179" s="6" t="n">
        <v>1.64</v>
      </c>
      <c r="H1179" s="6" t="n">
        <v>0</v>
      </c>
      <c r="I1179" s="6" t="n">
        <v>3.28</v>
      </c>
      <c r="J1179" s="6" t="n">
        <v>3.28</v>
      </c>
    </row>
    <row collapsed="false" customFormat="false" customHeight="false" hidden="false" ht="12.1" outlineLevel="0" r="1180">
      <c r="A1180" s="35" t="n">
        <v>46752</v>
      </c>
      <c r="B1180" s="16" t="s">
        <v>1375</v>
      </c>
      <c r="C1180" s="16" t="s">
        <v>254</v>
      </c>
      <c r="D1180" s="16" t="s">
        <v>255</v>
      </c>
      <c r="E1180" s="6" t="n">
        <v>1000</v>
      </c>
      <c r="F1180" s="7" t="n">
        <v>1</v>
      </c>
      <c r="G1180" s="6" t="n">
        <v>11.38</v>
      </c>
      <c r="H1180" s="6" t="n">
        <v>1</v>
      </c>
      <c r="I1180" s="6" t="n">
        <v>11.38</v>
      </c>
      <c r="J1180" s="6" t="n">
        <v>10.38</v>
      </c>
    </row>
    <row collapsed="false" customFormat="false" customHeight="false" hidden="false" ht="12.1" outlineLevel="0" r="1181">
      <c r="A1181" s="35" t="n">
        <v>46754</v>
      </c>
      <c r="B1181" s="16" t="s">
        <v>1375</v>
      </c>
      <c r="C1181" s="16" t="s">
        <v>326</v>
      </c>
      <c r="D1181" s="16" t="s">
        <v>327</v>
      </c>
      <c r="E1181" s="6" t="n">
        <v>1000</v>
      </c>
      <c r="F1181" s="7" t="n">
        <v>1</v>
      </c>
      <c r="G1181" s="6" t="n">
        <v>44.88</v>
      </c>
      <c r="H1181" s="6" t="n">
        <v>6</v>
      </c>
      <c r="I1181" s="6" t="n">
        <v>44.88</v>
      </c>
      <c r="J1181" s="6" t="n">
        <v>38.88</v>
      </c>
    </row>
    <row collapsed="false" customFormat="false" customHeight="false" hidden="false" ht="12.1" outlineLevel="0" r="1182">
      <c r="A1182" s="35" t="n">
        <v>46758</v>
      </c>
      <c r="B1182" s="16" t="s">
        <v>1375</v>
      </c>
      <c r="C1182" s="16" t="s">
        <v>246</v>
      </c>
      <c r="D1182" s="16" t="s">
        <v>247</v>
      </c>
      <c r="E1182" s="6" t="n">
        <v>1000</v>
      </c>
      <c r="F1182" s="7" t="n">
        <v>1</v>
      </c>
      <c r="G1182" s="6" t="n">
        <v>20.96</v>
      </c>
      <c r="H1182" s="6" t="n">
        <v>3</v>
      </c>
      <c r="I1182" s="6" t="n">
        <v>20.96</v>
      </c>
      <c r="J1182" s="6" t="n">
        <v>17.96</v>
      </c>
    </row>
    <row collapsed="false" customFormat="false" customHeight="false" hidden="false" ht="12.1" outlineLevel="0" r="1183">
      <c r="A1183" s="35" t="n">
        <v>46762</v>
      </c>
      <c r="B1183" s="16" t="s">
        <v>1375</v>
      </c>
      <c r="C1183" s="16" t="s">
        <v>190</v>
      </c>
      <c r="D1183" s="16" t="s">
        <v>191</v>
      </c>
      <c r="E1183" s="6" t="n">
        <v>1000</v>
      </c>
      <c r="F1183" s="7" t="n">
        <v>2</v>
      </c>
      <c r="G1183" s="6" t="n">
        <v>13.77</v>
      </c>
      <c r="H1183" s="6" t="n">
        <v>4</v>
      </c>
      <c r="I1183" s="6" t="n">
        <v>27.54</v>
      </c>
      <c r="J1183" s="6" t="n">
        <v>23.54</v>
      </c>
    </row>
    <row collapsed="false" customFormat="false" customHeight="false" hidden="false" ht="12.1" outlineLevel="0" r="1184">
      <c r="A1184" s="35" t="n">
        <v>46763</v>
      </c>
      <c r="B1184" s="16" t="s">
        <v>1375</v>
      </c>
      <c r="C1184" s="16" t="s">
        <v>263</v>
      </c>
      <c r="D1184" s="16" t="s">
        <v>264</v>
      </c>
      <c r="E1184" s="6" t="n">
        <v>1000</v>
      </c>
      <c r="F1184" s="7" t="n">
        <v>1</v>
      </c>
      <c r="G1184" s="6" t="n">
        <v>12.66</v>
      </c>
      <c r="H1184" s="6" t="n">
        <v>2</v>
      </c>
      <c r="I1184" s="6" t="n">
        <v>12.66</v>
      </c>
      <c r="J1184" s="6" t="n">
        <v>10.66</v>
      </c>
    </row>
    <row collapsed="false" customFormat="false" customHeight="false" hidden="false" ht="12.1" outlineLevel="0" r="1185">
      <c r="A1185" s="35" t="n">
        <v>46764</v>
      </c>
      <c r="B1185" s="16" t="s">
        <v>1375</v>
      </c>
      <c r="C1185" s="16" t="s">
        <v>178</v>
      </c>
      <c r="D1185" s="16" t="s">
        <v>179</v>
      </c>
      <c r="E1185" s="6" t="n">
        <v>1000</v>
      </c>
      <c r="F1185" s="7" t="n">
        <v>2</v>
      </c>
      <c r="G1185" s="6" t="n">
        <v>43.13</v>
      </c>
      <c r="H1185" s="6" t="n">
        <v>11</v>
      </c>
      <c r="I1185" s="6" t="n">
        <v>86.26</v>
      </c>
      <c r="J1185" s="6" t="n">
        <v>75.26</v>
      </c>
    </row>
    <row collapsed="false" customFormat="false" customHeight="false" hidden="false" ht="12.1" outlineLevel="0" r="1186">
      <c r="A1186" s="35" t="n">
        <v>46764</v>
      </c>
      <c r="B1186" s="16" t="s">
        <v>1375</v>
      </c>
      <c r="C1186" s="16" t="s">
        <v>243</v>
      </c>
      <c r="D1186" s="16" t="s">
        <v>244</v>
      </c>
      <c r="E1186" s="6" t="n">
        <v>1000</v>
      </c>
      <c r="F1186" s="7" t="n">
        <v>1</v>
      </c>
      <c r="G1186" s="6" t="n">
        <v>14.79</v>
      </c>
      <c r="H1186" s="6" t="n">
        <v>2</v>
      </c>
      <c r="I1186" s="6" t="n">
        <v>14.79</v>
      </c>
      <c r="J1186" s="6" t="n">
        <v>12.79</v>
      </c>
    </row>
    <row collapsed="false" customFormat="false" customHeight="false" hidden="false" ht="12.1" outlineLevel="0" r="1187">
      <c r="A1187" s="35" t="n">
        <v>46765</v>
      </c>
      <c r="B1187" s="16" t="s">
        <v>1375</v>
      </c>
      <c r="C1187" s="16" t="s">
        <v>252</v>
      </c>
      <c r="D1187" s="16" t="s">
        <v>253</v>
      </c>
      <c r="E1187" s="6" t="n">
        <v>1000</v>
      </c>
      <c r="F1187" s="7" t="n">
        <v>1</v>
      </c>
      <c r="G1187" s="6" t="n">
        <v>2.43</v>
      </c>
      <c r="H1187" s="6" t="n">
        <v>0</v>
      </c>
      <c r="I1187" s="6" t="n">
        <v>2.43</v>
      </c>
      <c r="J1187" s="6" t="n">
        <v>2.43</v>
      </c>
    </row>
    <row collapsed="false" customFormat="false" customHeight="false" hidden="false" ht="12.1" outlineLevel="0" r="1188">
      <c r="A1188" s="35" t="n">
        <v>46765</v>
      </c>
      <c r="B1188" s="16" t="s">
        <v>1375</v>
      </c>
      <c r="C1188" s="16" t="s">
        <v>249</v>
      </c>
      <c r="D1188" s="16" t="s">
        <v>250</v>
      </c>
      <c r="E1188" s="6" t="n">
        <v>1000</v>
      </c>
      <c r="F1188" s="7" t="n">
        <v>1</v>
      </c>
      <c r="G1188" s="6" t="n">
        <v>11.42</v>
      </c>
      <c r="H1188" s="6" t="n">
        <v>1</v>
      </c>
      <c r="I1188" s="6" t="n">
        <v>11.42</v>
      </c>
      <c r="J1188" s="6" t="n">
        <v>10.42</v>
      </c>
    </row>
    <row collapsed="false" customFormat="false" customHeight="false" hidden="false" ht="12.1" outlineLevel="0" r="1189">
      <c r="A1189" s="35" t="n">
        <v>46766</v>
      </c>
      <c r="B1189" s="16" t="s">
        <v>1375</v>
      </c>
      <c r="C1189" s="16" t="s">
        <v>184</v>
      </c>
      <c r="D1189" s="16" t="s">
        <v>185</v>
      </c>
      <c r="E1189" s="6" t="n">
        <v>1000</v>
      </c>
      <c r="F1189" s="7" t="n">
        <v>2</v>
      </c>
      <c r="G1189" s="6" t="n">
        <v>13.68</v>
      </c>
      <c r="H1189" s="6" t="n">
        <v>4</v>
      </c>
      <c r="I1189" s="6" t="n">
        <v>27.36</v>
      </c>
      <c r="J1189" s="6" t="n">
        <v>23.36</v>
      </c>
    </row>
    <row collapsed="false" customFormat="false" customHeight="false" hidden="false" ht="12.1" outlineLevel="0" r="1190">
      <c r="A1190" s="35" t="n">
        <v>46769</v>
      </c>
      <c r="B1190" s="16" t="s">
        <v>1375</v>
      </c>
      <c r="C1190" s="16" t="s">
        <v>193</v>
      </c>
      <c r="D1190" s="16" t="s">
        <v>194</v>
      </c>
      <c r="E1190" s="6" t="n">
        <v>1000</v>
      </c>
      <c r="F1190" s="7" t="n">
        <v>2</v>
      </c>
      <c r="G1190" s="6" t="n">
        <v>12.95</v>
      </c>
      <c r="H1190" s="6" t="n">
        <v>3</v>
      </c>
      <c r="I1190" s="6" t="n">
        <v>25.9</v>
      </c>
      <c r="J1190" s="6" t="n">
        <v>22.9</v>
      </c>
    </row>
    <row collapsed="false" customFormat="false" customHeight="false" hidden="false" ht="12.1" outlineLevel="0" r="1191">
      <c r="A1191" s="35" t="n">
        <v>46771</v>
      </c>
      <c r="B1191" s="16" t="s">
        <v>1375</v>
      </c>
      <c r="C1191" s="16" t="s">
        <v>181</v>
      </c>
      <c r="D1191" s="16" t="s">
        <v>182</v>
      </c>
      <c r="E1191" s="6" t="n">
        <v>1000</v>
      </c>
      <c r="F1191" s="7" t="n">
        <v>2</v>
      </c>
      <c r="G1191" s="6" t="n">
        <v>13.15</v>
      </c>
      <c r="H1191" s="6" t="n">
        <v>3</v>
      </c>
      <c r="I1191" s="6" t="n">
        <v>26.3</v>
      </c>
      <c r="J1191" s="6" t="n">
        <v>23.3</v>
      </c>
    </row>
    <row collapsed="false" customFormat="false" customHeight="false" hidden="false" ht="12.1" outlineLevel="0" r="1192">
      <c r="A1192" s="35" t="n">
        <v>46773</v>
      </c>
      <c r="B1192" s="16" t="s">
        <v>1375</v>
      </c>
      <c r="C1192" s="16" t="s">
        <v>232</v>
      </c>
      <c r="D1192" s="16" t="s">
        <v>233</v>
      </c>
      <c r="E1192" s="6" t="n">
        <v>1000</v>
      </c>
      <c r="F1192" s="7" t="n">
        <v>2</v>
      </c>
      <c r="G1192" s="6" t="n">
        <v>1.64</v>
      </c>
      <c r="H1192" s="6" t="n">
        <v>0</v>
      </c>
      <c r="I1192" s="6" t="n">
        <v>3.28</v>
      </c>
      <c r="J1192" s="6" t="n">
        <v>3.28</v>
      </c>
    </row>
    <row collapsed="false" customFormat="false" customHeight="false" hidden="false" ht="12.1" outlineLevel="0" r="1193">
      <c r="A1193" s="35" t="n">
        <v>46777</v>
      </c>
      <c r="B1193" s="16" t="s">
        <v>1375</v>
      </c>
      <c r="C1193" s="16" t="s">
        <v>84</v>
      </c>
      <c r="D1193" s="16" t="s">
        <v>86</v>
      </c>
      <c r="E1193" s="6" t="n">
        <v>1000</v>
      </c>
      <c r="F1193" s="7" t="n">
        <v>34</v>
      </c>
      <c r="G1193" s="6" t="n">
        <v>30.42</v>
      </c>
      <c r="H1193" s="6" t="n">
        <v>134</v>
      </c>
      <c r="I1193" s="6" t="n">
        <v>1034.28</v>
      </c>
      <c r="J1193" s="6" t="n">
        <v>900.28</v>
      </c>
    </row>
    <row collapsed="false" customFormat="false" customHeight="false" hidden="false" ht="12.1" outlineLevel="0" r="1194">
      <c r="A1194" s="35" t="n">
        <v>46777</v>
      </c>
      <c r="B1194" s="16" t="s">
        <v>1375</v>
      </c>
      <c r="C1194" s="16" t="s">
        <v>154</v>
      </c>
      <c r="D1194" s="16" t="s">
        <v>155</v>
      </c>
      <c r="E1194" s="6" t="n">
        <v>1000</v>
      </c>
      <c r="F1194" s="7" t="n">
        <v>6</v>
      </c>
      <c r="G1194" s="6" t="n">
        <v>34.41</v>
      </c>
      <c r="H1194" s="6" t="n">
        <v>27</v>
      </c>
      <c r="I1194" s="6" t="n">
        <v>206.46</v>
      </c>
      <c r="J1194" s="6" t="n">
        <v>179.46</v>
      </c>
    </row>
    <row collapsed="false" customFormat="false" customHeight="false" hidden="false" ht="12.1" outlineLevel="0" r="1195">
      <c r="A1195" s="35" t="n">
        <v>46779</v>
      </c>
      <c r="B1195" s="16" t="s">
        <v>1375</v>
      </c>
      <c r="C1195" s="16" t="s">
        <v>151</v>
      </c>
      <c r="D1195" s="16" t="s">
        <v>152</v>
      </c>
      <c r="E1195" s="6" t="n">
        <v>1000</v>
      </c>
      <c r="F1195" s="7" t="n">
        <v>5</v>
      </c>
      <c r="G1195" s="6" t="n">
        <v>59.84</v>
      </c>
      <c r="H1195" s="6" t="n">
        <v>39</v>
      </c>
      <c r="I1195" s="6" t="n">
        <v>299.2</v>
      </c>
      <c r="J1195" s="6" t="n">
        <v>260.2</v>
      </c>
    </row>
    <row collapsed="false" customFormat="false" customHeight="false" hidden="false" ht="12.1" outlineLevel="0" r="1196">
      <c r="A1196" s="35" t="n">
        <v>46782</v>
      </c>
      <c r="B1196" s="16" t="s">
        <v>1375</v>
      </c>
      <c r="C1196" s="16" t="s">
        <v>254</v>
      </c>
      <c r="D1196" s="16" t="s">
        <v>255</v>
      </c>
      <c r="E1196" s="6" t="n">
        <v>1000</v>
      </c>
      <c r="F1196" s="7" t="n">
        <v>1</v>
      </c>
      <c r="G1196" s="6" t="n">
        <v>11.38</v>
      </c>
      <c r="H1196" s="6" t="n">
        <v>1</v>
      </c>
      <c r="I1196" s="6" t="n">
        <v>11.38</v>
      </c>
      <c r="J1196" s="6" t="n">
        <v>10.38</v>
      </c>
    </row>
    <row collapsed="false" customFormat="false" customHeight="false" hidden="false" ht="12.1" outlineLevel="0" r="1197">
      <c r="A1197" s="35" t="n">
        <v>46784</v>
      </c>
      <c r="B1197" s="16" t="s">
        <v>1375</v>
      </c>
      <c r="C1197" s="16" t="s">
        <v>166</v>
      </c>
      <c r="D1197" s="16" t="s">
        <v>167</v>
      </c>
      <c r="E1197" s="6" t="n">
        <v>1694.77</v>
      </c>
      <c r="F1197" s="7" t="n">
        <v>2</v>
      </c>
      <c r="G1197" s="6" t="n">
        <v>21.21</v>
      </c>
      <c r="H1197" s="6" t="n">
        <v>6</v>
      </c>
      <c r="I1197" s="6" t="n">
        <v>42.42</v>
      </c>
      <c r="J1197" s="6" t="n">
        <v>36.42</v>
      </c>
    </row>
    <row collapsed="false" customFormat="false" customHeight="false" hidden="false" ht="12.1" outlineLevel="0" r="1198">
      <c r="A1198" s="35" t="n">
        <v>46788</v>
      </c>
      <c r="B1198" s="16" t="s">
        <v>1375</v>
      </c>
      <c r="C1198" s="16" t="s">
        <v>246</v>
      </c>
      <c r="D1198" s="16" t="s">
        <v>247</v>
      </c>
      <c r="E1198" s="6" t="n">
        <v>1000</v>
      </c>
      <c r="F1198" s="7" t="n">
        <v>1</v>
      </c>
      <c r="G1198" s="6" t="n">
        <v>20.96</v>
      </c>
      <c r="H1198" s="6" t="n">
        <v>3</v>
      </c>
      <c r="I1198" s="6" t="n">
        <v>20.96</v>
      </c>
      <c r="J1198" s="6" t="n">
        <v>17.96</v>
      </c>
    </row>
    <row collapsed="false" customFormat="false" customHeight="false" hidden="false" ht="12.1" outlineLevel="0" r="1199">
      <c r="A1199" s="35" t="n">
        <v>46791</v>
      </c>
      <c r="B1199" s="16" t="s">
        <v>1375</v>
      </c>
      <c r="C1199" s="16" t="s">
        <v>112</v>
      </c>
      <c r="D1199" s="16" t="s">
        <v>113</v>
      </c>
      <c r="E1199" s="6" t="n">
        <v>1000</v>
      </c>
      <c r="F1199" s="7" t="n">
        <v>19</v>
      </c>
      <c r="G1199" s="6" t="n">
        <v>34.9</v>
      </c>
      <c r="H1199" s="6" t="n">
        <v>86</v>
      </c>
      <c r="I1199" s="6" t="n">
        <v>663.1</v>
      </c>
      <c r="J1199" s="6" t="n">
        <v>577.1</v>
      </c>
    </row>
    <row collapsed="false" customFormat="false" customHeight="false" hidden="false" ht="12.1" outlineLevel="0" r="1200">
      <c r="A1200" s="35" t="n">
        <v>46792</v>
      </c>
      <c r="B1200" s="16" t="s">
        <v>1375</v>
      </c>
      <c r="C1200" s="16" t="s">
        <v>190</v>
      </c>
      <c r="D1200" s="16" t="s">
        <v>191</v>
      </c>
      <c r="E1200" s="6" t="n">
        <v>1000</v>
      </c>
      <c r="F1200" s="7" t="n">
        <v>2</v>
      </c>
      <c r="G1200" s="6" t="n">
        <v>13.77</v>
      </c>
      <c r="H1200" s="6" t="n">
        <v>4</v>
      </c>
      <c r="I1200" s="6" t="n">
        <v>27.54</v>
      </c>
      <c r="J1200" s="6" t="n">
        <v>23.54</v>
      </c>
    </row>
    <row collapsed="false" customFormat="false" customHeight="false" hidden="false" ht="12.1" outlineLevel="0" r="1201">
      <c r="A1201" s="35" t="n">
        <v>46793</v>
      </c>
      <c r="B1201" s="16" t="s">
        <v>1375</v>
      </c>
      <c r="C1201" s="16" t="s">
        <v>160</v>
      </c>
      <c r="D1201" s="16" t="s">
        <v>161</v>
      </c>
      <c r="E1201" s="6" t="n">
        <v>1000</v>
      </c>
      <c r="F1201" s="7" t="n">
        <v>4</v>
      </c>
      <c r="G1201" s="6" t="n">
        <v>51.86</v>
      </c>
      <c r="H1201" s="6" t="n">
        <v>27</v>
      </c>
      <c r="I1201" s="6" t="n">
        <v>207.44</v>
      </c>
      <c r="J1201" s="6" t="n">
        <v>180.44</v>
      </c>
    </row>
    <row collapsed="false" customFormat="false" customHeight="false" hidden="false" ht="12.1" outlineLevel="0" r="1202">
      <c r="A1202" s="35" t="n">
        <v>46793</v>
      </c>
      <c r="B1202" s="16" t="s">
        <v>1375</v>
      </c>
      <c r="C1202" s="16" t="s">
        <v>263</v>
      </c>
      <c r="D1202" s="16" t="s">
        <v>264</v>
      </c>
      <c r="E1202" s="6" t="n">
        <v>1000</v>
      </c>
      <c r="F1202" s="7" t="n">
        <v>1</v>
      </c>
      <c r="G1202" s="6" t="n">
        <v>12.66</v>
      </c>
      <c r="H1202" s="6" t="n">
        <v>2</v>
      </c>
      <c r="I1202" s="6" t="n">
        <v>12.66</v>
      </c>
      <c r="J1202" s="6" t="n">
        <v>10.66</v>
      </c>
    </row>
    <row collapsed="false" customFormat="false" customHeight="false" hidden="false" ht="12.1" outlineLevel="0" r="1203">
      <c r="A1203" s="35" t="n">
        <v>46794</v>
      </c>
      <c r="B1203" s="16" t="s">
        <v>1375</v>
      </c>
      <c r="C1203" s="16" t="s">
        <v>243</v>
      </c>
      <c r="D1203" s="16" t="s">
        <v>244</v>
      </c>
      <c r="E1203" s="6" t="n">
        <v>1000</v>
      </c>
      <c r="F1203" s="7" t="n">
        <v>1</v>
      </c>
      <c r="G1203" s="6" t="n">
        <v>14.79</v>
      </c>
      <c r="H1203" s="6" t="n">
        <v>2</v>
      </c>
      <c r="I1203" s="6" t="n">
        <v>14.79</v>
      </c>
      <c r="J1203" s="6" t="n">
        <v>12.79</v>
      </c>
    </row>
    <row collapsed="false" customFormat="false" customHeight="false" hidden="false" ht="12.1" outlineLevel="0" r="1204">
      <c r="A1204" s="35" t="n">
        <v>46795</v>
      </c>
      <c r="B1204" s="16" t="s">
        <v>1375</v>
      </c>
      <c r="C1204" s="16" t="s">
        <v>252</v>
      </c>
      <c r="D1204" s="16" t="s">
        <v>253</v>
      </c>
      <c r="E1204" s="6" t="n">
        <v>1000</v>
      </c>
      <c r="F1204" s="7" t="n">
        <v>1</v>
      </c>
      <c r="G1204" s="6" t="n">
        <v>2.43</v>
      </c>
      <c r="H1204" s="6" t="n">
        <v>0</v>
      </c>
      <c r="I1204" s="6" t="n">
        <v>2.43</v>
      </c>
      <c r="J1204" s="6" t="n">
        <v>2.43</v>
      </c>
    </row>
    <row collapsed="false" customFormat="false" customHeight="false" hidden="false" ht="12.1" outlineLevel="0" r="1205">
      <c r="A1205" s="35" t="n">
        <v>46795</v>
      </c>
      <c r="B1205" s="16" t="s">
        <v>1375</v>
      </c>
      <c r="C1205" s="16" t="s">
        <v>249</v>
      </c>
      <c r="D1205" s="16" t="s">
        <v>250</v>
      </c>
      <c r="E1205" s="6" t="n">
        <v>1000</v>
      </c>
      <c r="F1205" s="7" t="n">
        <v>1</v>
      </c>
      <c r="G1205" s="6" t="n">
        <v>11.42</v>
      </c>
      <c r="H1205" s="6" t="n">
        <v>1</v>
      </c>
      <c r="I1205" s="6" t="n">
        <v>11.42</v>
      </c>
      <c r="J1205" s="6" t="n">
        <v>10.42</v>
      </c>
    </row>
    <row collapsed="false" customFormat="false" customHeight="false" hidden="false" ht="12.1" outlineLevel="0" r="1206">
      <c r="A1206" s="35" t="n">
        <v>46796</v>
      </c>
      <c r="B1206" s="16" t="s">
        <v>1375</v>
      </c>
      <c r="C1206" s="16" t="s">
        <v>184</v>
      </c>
      <c r="D1206" s="16" t="s">
        <v>185</v>
      </c>
      <c r="E1206" s="6" t="n">
        <v>1000</v>
      </c>
      <c r="F1206" s="7" t="n">
        <v>2</v>
      </c>
      <c r="G1206" s="6" t="n">
        <v>13.68</v>
      </c>
      <c r="H1206" s="6" t="n">
        <v>4</v>
      </c>
      <c r="I1206" s="6" t="n">
        <v>27.36</v>
      </c>
      <c r="J1206" s="6" t="n">
        <v>23.36</v>
      </c>
    </row>
    <row collapsed="false" customFormat="false" customHeight="false" hidden="false" ht="12.1" outlineLevel="0" r="1207">
      <c r="A1207" s="35" t="n">
        <v>46799</v>
      </c>
      <c r="B1207" s="16" t="s">
        <v>1375</v>
      </c>
      <c r="C1207" s="16" t="s">
        <v>187</v>
      </c>
      <c r="D1207" s="16" t="s">
        <v>188</v>
      </c>
      <c r="E1207" s="6" t="n">
        <v>1000</v>
      </c>
      <c r="F1207" s="7" t="n">
        <v>2</v>
      </c>
      <c r="G1207" s="6" t="n">
        <v>39.87</v>
      </c>
      <c r="H1207" s="6" t="n">
        <v>10</v>
      </c>
      <c r="I1207" s="6" t="n">
        <v>79.74</v>
      </c>
      <c r="J1207" s="6" t="n">
        <v>69.74</v>
      </c>
    </row>
    <row collapsed="false" customFormat="false" customHeight="false" hidden="false" ht="12.1" outlineLevel="0" r="1208">
      <c r="A1208" s="35" t="n">
        <v>46799</v>
      </c>
      <c r="B1208" s="16" t="s">
        <v>1375</v>
      </c>
      <c r="C1208" s="16" t="s">
        <v>331</v>
      </c>
      <c r="D1208" s="16" t="s">
        <v>332</v>
      </c>
      <c r="E1208" s="6" t="n">
        <v>250</v>
      </c>
      <c r="F1208" s="7" t="n">
        <v>1</v>
      </c>
      <c r="G1208" s="6" t="n">
        <v>2.17</v>
      </c>
      <c r="H1208" s="6" t="n">
        <v>0</v>
      </c>
      <c r="I1208" s="6" t="n">
        <v>2.17</v>
      </c>
      <c r="J1208" s="6" t="n">
        <v>2.17</v>
      </c>
    </row>
    <row collapsed="false" customFormat="false" customHeight="false" hidden="false" ht="12.1" outlineLevel="0" r="1209">
      <c r="A1209" s="35" t="n">
        <v>46799</v>
      </c>
      <c r="B1209" s="16" t="s">
        <v>1375</v>
      </c>
      <c r="C1209" s="16" t="s">
        <v>193</v>
      </c>
      <c r="D1209" s="16" t="s">
        <v>194</v>
      </c>
      <c r="E1209" s="6" t="n">
        <v>1000</v>
      </c>
      <c r="F1209" s="7" t="n">
        <v>2</v>
      </c>
      <c r="G1209" s="6" t="n">
        <v>12.95</v>
      </c>
      <c r="H1209" s="6" t="n">
        <v>3</v>
      </c>
      <c r="I1209" s="6" t="n">
        <v>25.9</v>
      </c>
      <c r="J1209" s="6" t="n">
        <v>22.9</v>
      </c>
    </row>
    <row collapsed="false" customFormat="false" customHeight="false" hidden="false" ht="12.1" outlineLevel="0" r="1210">
      <c r="A1210" s="35" t="n">
        <v>46800</v>
      </c>
      <c r="B1210" s="16" t="s">
        <v>1375</v>
      </c>
      <c r="C1210" s="16" t="s">
        <v>175</v>
      </c>
      <c r="D1210" s="16" t="s">
        <v>176</v>
      </c>
      <c r="E1210" s="6" t="n">
        <v>1000</v>
      </c>
      <c r="F1210" s="7" t="n">
        <v>3</v>
      </c>
      <c r="G1210" s="6" t="n">
        <v>44.88</v>
      </c>
      <c r="H1210" s="6" t="n">
        <v>18</v>
      </c>
      <c r="I1210" s="6" t="n">
        <v>134.64</v>
      </c>
      <c r="J1210" s="6" t="n">
        <v>116.64</v>
      </c>
    </row>
    <row collapsed="false" customFormat="false" customHeight="false" hidden="false" ht="12.1" outlineLevel="0" r="1211">
      <c r="A1211" s="35" t="n">
        <v>46801</v>
      </c>
      <c r="B1211" s="16" t="s">
        <v>1375</v>
      </c>
      <c r="C1211" s="16" t="s">
        <v>181</v>
      </c>
      <c r="D1211" s="16" t="s">
        <v>182</v>
      </c>
      <c r="E1211" s="6" t="n">
        <v>1000</v>
      </c>
      <c r="F1211" s="7" t="n">
        <v>2</v>
      </c>
      <c r="G1211" s="6" t="n">
        <v>13.15</v>
      </c>
      <c r="H1211" s="6" t="n">
        <v>3</v>
      </c>
      <c r="I1211" s="6" t="n">
        <v>26.3</v>
      </c>
      <c r="J1211" s="6" t="n">
        <v>23.3</v>
      </c>
    </row>
    <row collapsed="false" customFormat="false" customHeight="false" hidden="false" ht="12.1" outlineLevel="0" r="1212">
      <c r="A1212" s="35" t="n">
        <v>46803</v>
      </c>
      <c r="B1212" s="16" t="s">
        <v>1375</v>
      </c>
      <c r="C1212" s="16" t="s">
        <v>232</v>
      </c>
      <c r="D1212" s="16" t="s">
        <v>233</v>
      </c>
      <c r="E1212" s="6" t="n">
        <v>1000</v>
      </c>
      <c r="F1212" s="7" t="n">
        <v>2</v>
      </c>
      <c r="G1212" s="6" t="n">
        <v>1.64</v>
      </c>
      <c r="H1212" s="6" t="n">
        <v>0</v>
      </c>
      <c r="I1212" s="6" t="n">
        <v>3.28</v>
      </c>
      <c r="J1212" s="6" t="n">
        <v>3.28</v>
      </c>
    </row>
    <row collapsed="false" customFormat="false" customHeight="false" hidden="false" ht="12.1" outlineLevel="0" r="1213">
      <c r="A1213" s="35" t="n">
        <v>46804</v>
      </c>
      <c r="B1213" s="16" t="s">
        <v>1375</v>
      </c>
      <c r="C1213" s="16" t="s">
        <v>172</v>
      </c>
      <c r="D1213" s="16" t="s">
        <v>173</v>
      </c>
      <c r="E1213" s="6" t="n">
        <v>1000</v>
      </c>
      <c r="F1213" s="7" t="n">
        <v>3</v>
      </c>
      <c r="G1213" s="6" t="n">
        <v>24.93</v>
      </c>
      <c r="H1213" s="6" t="n">
        <v>10</v>
      </c>
      <c r="I1213" s="6" t="n">
        <v>74.79</v>
      </c>
      <c r="J1213" s="6" t="n">
        <v>64.79</v>
      </c>
    </row>
    <row collapsed="false" customFormat="false" customHeight="false" hidden="false" ht="12.1" outlineLevel="0" r="1214">
      <c r="A1214" s="35" t="n">
        <v>46812</v>
      </c>
      <c r="B1214" s="16" t="s">
        <v>1375</v>
      </c>
      <c r="C1214" s="16" t="s">
        <v>254</v>
      </c>
      <c r="D1214" s="16" t="s">
        <v>255</v>
      </c>
      <c r="E1214" s="6" t="n">
        <v>1000</v>
      </c>
      <c r="F1214" s="7" t="n">
        <v>1</v>
      </c>
      <c r="G1214" s="6" t="n">
        <v>11.38</v>
      </c>
      <c r="H1214" s="6" t="n">
        <v>1</v>
      </c>
      <c r="I1214" s="6" t="n">
        <v>11.38</v>
      </c>
      <c r="J1214" s="6" t="n">
        <v>10.38</v>
      </c>
    </row>
    <row collapsed="false" customFormat="false" customHeight="false" hidden="false" ht="12.1" outlineLevel="0" r="1215">
      <c r="A1215" s="35" t="n">
        <v>46812</v>
      </c>
      <c r="B1215" s="16" t="s">
        <v>1375</v>
      </c>
      <c r="C1215" s="16" t="s">
        <v>163</v>
      </c>
      <c r="D1215" s="16" t="s">
        <v>164</v>
      </c>
      <c r="E1215" s="6" t="n">
        <v>1000</v>
      </c>
      <c r="F1215" s="7" t="n">
        <v>4</v>
      </c>
      <c r="G1215" s="6" t="n">
        <v>44.88</v>
      </c>
      <c r="H1215" s="6" t="n">
        <v>23</v>
      </c>
      <c r="I1215" s="6" t="n">
        <v>179.52</v>
      </c>
      <c r="J1215" s="6" t="n">
        <v>156.52</v>
      </c>
    </row>
    <row collapsed="false" customFormat="false" customHeight="false" hidden="false" ht="12.1" outlineLevel="0" r="1216">
      <c r="A1216" s="35" t="n">
        <v>46812</v>
      </c>
      <c r="B1216" s="16" t="s">
        <v>1375</v>
      </c>
      <c r="C1216" s="16" t="s">
        <v>329</v>
      </c>
      <c r="D1216" s="16" t="s">
        <v>330</v>
      </c>
      <c r="E1216" s="6" t="n">
        <v>1000</v>
      </c>
      <c r="F1216" s="7" t="n">
        <v>1</v>
      </c>
      <c r="G1216" s="6" t="n">
        <v>19.87</v>
      </c>
      <c r="H1216" s="6" t="n">
        <v>3</v>
      </c>
      <c r="I1216" s="6" t="n">
        <v>19.87</v>
      </c>
      <c r="J1216" s="6" t="n">
        <v>16.87</v>
      </c>
    </row>
    <row collapsed="false" customFormat="false" customHeight="false" hidden="false" ht="12.1" outlineLevel="0" r="1217">
      <c r="A1217" s="35" t="n">
        <v>46818</v>
      </c>
      <c r="B1217" s="16" t="s">
        <v>1375</v>
      </c>
      <c r="C1217" s="16" t="s">
        <v>246</v>
      </c>
      <c r="D1217" s="16" t="s">
        <v>247</v>
      </c>
      <c r="E1217" s="6" t="n">
        <v>1000</v>
      </c>
      <c r="F1217" s="7" t="n">
        <v>1</v>
      </c>
      <c r="G1217" s="6" t="n">
        <v>20.96</v>
      </c>
      <c r="H1217" s="6" t="n">
        <v>3</v>
      </c>
      <c r="I1217" s="6" t="n">
        <v>20.96</v>
      </c>
      <c r="J1217" s="6" t="n">
        <v>17.96</v>
      </c>
    </row>
    <row collapsed="false" customFormat="false" customHeight="false" hidden="false" ht="12.1" outlineLevel="0" r="1218">
      <c r="A1218" s="35" t="n">
        <v>46821</v>
      </c>
      <c r="B1218" s="16" t="s">
        <v>1375</v>
      </c>
      <c r="C1218" s="16" t="s">
        <v>229</v>
      </c>
      <c r="D1218" s="16" t="s">
        <v>230</v>
      </c>
      <c r="E1218" s="6" t="n">
        <v>1000</v>
      </c>
      <c r="F1218" s="7" t="n">
        <v>2</v>
      </c>
      <c r="G1218" s="6" t="n">
        <v>17.83</v>
      </c>
      <c r="H1218" s="6" t="n">
        <v>5</v>
      </c>
      <c r="I1218" s="6" t="n">
        <v>35.66</v>
      </c>
      <c r="J1218" s="6" t="n">
        <v>30.66</v>
      </c>
    </row>
    <row collapsed="false" customFormat="false" customHeight="false" hidden="false" ht="12.1" outlineLevel="0" r="1219">
      <c r="A1219" s="35" t="n">
        <v>46822</v>
      </c>
      <c r="B1219" s="16" t="s">
        <v>1375</v>
      </c>
      <c r="C1219" s="16" t="s">
        <v>190</v>
      </c>
      <c r="D1219" s="16" t="s">
        <v>191</v>
      </c>
      <c r="E1219" s="6" t="n">
        <v>1000</v>
      </c>
      <c r="F1219" s="7" t="n">
        <v>2</v>
      </c>
      <c r="G1219" s="6" t="n">
        <v>13.77</v>
      </c>
      <c r="H1219" s="6" t="n">
        <v>4</v>
      </c>
      <c r="I1219" s="6" t="n">
        <v>27.54</v>
      </c>
      <c r="J1219" s="6" t="n">
        <v>23.54</v>
      </c>
    </row>
    <row collapsed="false" customFormat="false" customHeight="false" hidden="false" ht="12.1" outlineLevel="0" r="1220">
      <c r="A1220" s="35" t="n">
        <v>46823</v>
      </c>
      <c r="B1220" s="16" t="s">
        <v>1375</v>
      </c>
      <c r="C1220" s="16" t="s">
        <v>263</v>
      </c>
      <c r="D1220" s="16" t="s">
        <v>264</v>
      </c>
      <c r="E1220" s="6" t="n">
        <v>1000</v>
      </c>
      <c r="F1220" s="7" t="n">
        <v>1</v>
      </c>
      <c r="G1220" s="6" t="n">
        <v>12.66</v>
      </c>
      <c r="H1220" s="6" t="n">
        <v>2</v>
      </c>
      <c r="I1220" s="6" t="n">
        <v>12.66</v>
      </c>
      <c r="J1220" s="6" t="n">
        <v>10.66</v>
      </c>
    </row>
    <row collapsed="false" customFormat="false" customHeight="false" hidden="false" ht="12.1" outlineLevel="0" r="1221">
      <c r="A1221" s="35" t="n">
        <v>46824</v>
      </c>
      <c r="B1221" s="16" t="s">
        <v>1375</v>
      </c>
      <c r="C1221" s="16" t="s">
        <v>243</v>
      </c>
      <c r="D1221" s="16" t="s">
        <v>244</v>
      </c>
      <c r="E1221" s="6" t="n">
        <v>1000</v>
      </c>
      <c r="F1221" s="7" t="n">
        <v>1</v>
      </c>
      <c r="G1221" s="6" t="n">
        <v>14.79</v>
      </c>
      <c r="H1221" s="6" t="n">
        <v>2</v>
      </c>
      <c r="I1221" s="6" t="n">
        <v>14.79</v>
      </c>
      <c r="J1221" s="6" t="n">
        <v>12.79</v>
      </c>
    </row>
    <row collapsed="false" customFormat="false" customHeight="false" hidden="false" ht="12.1" outlineLevel="0" r="1222">
      <c r="A1222" s="35" t="n">
        <v>46826</v>
      </c>
      <c r="B1222" s="16" t="s">
        <v>1375</v>
      </c>
      <c r="C1222" s="16" t="s">
        <v>103</v>
      </c>
      <c r="D1222" s="16" t="s">
        <v>104</v>
      </c>
      <c r="E1222" s="6" t="n">
        <v>1000</v>
      </c>
      <c r="F1222" s="7" t="n">
        <v>17</v>
      </c>
      <c r="G1222" s="6" t="n">
        <v>29.42</v>
      </c>
      <c r="H1222" s="6" t="n">
        <v>65</v>
      </c>
      <c r="I1222" s="6" t="n">
        <v>500.14</v>
      </c>
      <c r="J1222" s="6" t="n">
        <v>435.14</v>
      </c>
    </row>
    <row collapsed="false" customFormat="false" customHeight="false" hidden="false" ht="12.1" outlineLevel="0" r="1223">
      <c r="A1223" s="35" t="n">
        <v>46829</v>
      </c>
      <c r="B1223" s="16" t="s">
        <v>1375</v>
      </c>
      <c r="C1223" s="16" t="s">
        <v>193</v>
      </c>
      <c r="D1223" s="16" t="s">
        <v>194</v>
      </c>
      <c r="E1223" s="6" t="n">
        <v>1000</v>
      </c>
      <c r="F1223" s="7" t="n">
        <v>2</v>
      </c>
      <c r="G1223" s="6" t="n">
        <v>12.95</v>
      </c>
      <c r="H1223" s="6" t="n">
        <v>3</v>
      </c>
      <c r="I1223" s="6" t="n">
        <v>25.9</v>
      </c>
      <c r="J1223" s="6" t="n">
        <v>22.9</v>
      </c>
    </row>
    <row collapsed="false" customFormat="false" customHeight="false" hidden="false" ht="12.1" outlineLevel="0" r="1224">
      <c r="A1224" s="35" t="n">
        <v>46831</v>
      </c>
      <c r="B1224" s="16" t="s">
        <v>1375</v>
      </c>
      <c r="C1224" s="16" t="s">
        <v>220</v>
      </c>
      <c r="D1224" s="16" t="s">
        <v>221</v>
      </c>
      <c r="E1224" s="6" t="n">
        <v>1000</v>
      </c>
      <c r="F1224" s="7" t="n">
        <v>2</v>
      </c>
      <c r="G1224" s="6" t="n">
        <v>45.38</v>
      </c>
      <c r="H1224" s="6" t="n">
        <v>12</v>
      </c>
      <c r="I1224" s="6" t="n">
        <v>90.76</v>
      </c>
      <c r="J1224" s="6" t="n">
        <v>78.76</v>
      </c>
    </row>
    <row collapsed="false" customFormat="false" customHeight="false" hidden="false" ht="12.1" outlineLevel="0" r="1225">
      <c r="A1225" s="35" t="n">
        <v>46831</v>
      </c>
      <c r="B1225" s="16" t="s">
        <v>1375</v>
      </c>
      <c r="C1225" s="16" t="s">
        <v>181</v>
      </c>
      <c r="D1225" s="16" t="s">
        <v>182</v>
      </c>
      <c r="E1225" s="6" t="n">
        <v>1000</v>
      </c>
      <c r="F1225" s="7" t="n">
        <v>2</v>
      </c>
      <c r="G1225" s="6" t="n">
        <v>13.15</v>
      </c>
      <c r="H1225" s="6" t="n">
        <v>3</v>
      </c>
      <c r="I1225" s="6" t="n">
        <v>26.3</v>
      </c>
      <c r="J1225" s="6" t="n">
        <v>23.3</v>
      </c>
    </row>
    <row collapsed="false" customFormat="false" customHeight="false" hidden="false" ht="12.1" outlineLevel="0" r="1226">
      <c r="A1226" s="35" t="n">
        <v>46833</v>
      </c>
      <c r="B1226" s="16" t="s">
        <v>1375</v>
      </c>
      <c r="C1226" s="16" t="s">
        <v>130</v>
      </c>
      <c r="D1226" s="16" t="s">
        <v>131</v>
      </c>
      <c r="E1226" s="6" t="n">
        <v>1000</v>
      </c>
      <c r="F1226" s="7" t="n">
        <v>11</v>
      </c>
      <c r="G1226" s="6" t="n">
        <v>56.1</v>
      </c>
      <c r="H1226" s="6" t="n">
        <v>80</v>
      </c>
      <c r="I1226" s="6" t="n">
        <v>617.1</v>
      </c>
      <c r="J1226" s="6" t="n">
        <v>537.1</v>
      </c>
    </row>
    <row collapsed="false" customFormat="false" customHeight="false" hidden="false" ht="12.1" outlineLevel="0" r="1227">
      <c r="A1227" s="35" t="n">
        <v>46833</v>
      </c>
      <c r="B1227" s="16" t="s">
        <v>1375</v>
      </c>
      <c r="C1227" s="16" t="s">
        <v>232</v>
      </c>
      <c r="D1227" s="16" t="s">
        <v>233</v>
      </c>
      <c r="E1227" s="6" t="n">
        <v>1000</v>
      </c>
      <c r="F1227" s="7" t="n">
        <v>2</v>
      </c>
      <c r="G1227" s="6" t="n">
        <v>1.64</v>
      </c>
      <c r="H1227" s="6" t="n">
        <v>0</v>
      </c>
      <c r="I1227" s="6" t="n">
        <v>3.28</v>
      </c>
      <c r="J1227" s="6" t="n">
        <v>3.28</v>
      </c>
    </row>
    <row collapsed="false" customFormat="false" customHeight="false" hidden="false" ht="12.1" outlineLevel="0" r="1228">
      <c r="A1228" s="35" t="n">
        <v>46833</v>
      </c>
      <c r="B1228" s="16" t="s">
        <v>1375</v>
      </c>
      <c r="C1228" s="16" t="s">
        <v>133</v>
      </c>
      <c r="D1228" s="16" t="s">
        <v>134</v>
      </c>
      <c r="E1228" s="6" t="n">
        <v>1000</v>
      </c>
      <c r="F1228" s="7" t="n">
        <v>12</v>
      </c>
      <c r="G1228" s="6" t="n">
        <v>42.38</v>
      </c>
      <c r="H1228" s="6" t="n">
        <v>66</v>
      </c>
      <c r="I1228" s="6" t="n">
        <v>508.56</v>
      </c>
      <c r="J1228" s="6" t="n">
        <v>442.56</v>
      </c>
    </row>
    <row collapsed="false" customFormat="false" customHeight="false" hidden="false" ht="12.1" outlineLevel="0" r="1229">
      <c r="A1229" s="35" t="n">
        <v>46833</v>
      </c>
      <c r="B1229" s="16" t="s">
        <v>1375</v>
      </c>
      <c r="C1229" s="16" t="s">
        <v>97</v>
      </c>
      <c r="D1229" s="16" t="s">
        <v>98</v>
      </c>
      <c r="E1229" s="6" t="n">
        <v>1000</v>
      </c>
      <c r="F1229" s="7" t="n">
        <v>14</v>
      </c>
      <c r="G1229" s="6" t="n">
        <v>59.84</v>
      </c>
      <c r="H1229" s="6" t="n">
        <v>109</v>
      </c>
      <c r="I1229" s="6" t="n">
        <v>837.76</v>
      </c>
      <c r="J1229" s="6" t="n">
        <v>728.76</v>
      </c>
    </row>
    <row collapsed="false" customFormat="false" customHeight="false" hidden="false" ht="12.1" outlineLevel="0" r="1230">
      <c r="A1230" s="35" t="n">
        <v>46833</v>
      </c>
      <c r="B1230" s="16" t="s">
        <v>1375</v>
      </c>
      <c r="C1230" s="16" t="s">
        <v>157</v>
      </c>
      <c r="D1230" s="16" t="s">
        <v>158</v>
      </c>
      <c r="E1230" s="6" t="n">
        <v>1448.61</v>
      </c>
      <c r="F1230" s="7" t="n">
        <v>4</v>
      </c>
      <c r="G1230" s="6" t="n">
        <v>18.13</v>
      </c>
      <c r="H1230" s="6" t="n">
        <v>9</v>
      </c>
      <c r="I1230" s="6" t="n">
        <v>72.52</v>
      </c>
      <c r="J1230" s="6" t="n">
        <v>63.52</v>
      </c>
    </row>
    <row collapsed="false" customFormat="false" customHeight="false" hidden="false" ht="12.1" outlineLevel="0" r="1231">
      <c r="A1231" s="35" t="n">
        <v>46840</v>
      </c>
      <c r="B1231" s="16" t="s">
        <v>1375</v>
      </c>
      <c r="C1231" s="16" t="s">
        <v>106</v>
      </c>
      <c r="D1231" s="16" t="s">
        <v>107</v>
      </c>
      <c r="E1231" s="6" t="n">
        <v>1000</v>
      </c>
      <c r="F1231" s="7" t="n">
        <v>18</v>
      </c>
      <c r="G1231" s="6" t="n">
        <v>38.39</v>
      </c>
      <c r="H1231" s="6" t="n">
        <v>90</v>
      </c>
      <c r="I1231" s="6" t="n">
        <v>691.02</v>
      </c>
      <c r="J1231" s="6" t="n">
        <v>601.02</v>
      </c>
    </row>
    <row collapsed="false" customFormat="false" customHeight="false" hidden="false" ht="12.1" outlineLevel="0" r="1232">
      <c r="A1232" s="35" t="n">
        <v>46840</v>
      </c>
      <c r="B1232" s="16" t="s">
        <v>1375</v>
      </c>
      <c r="C1232" s="16" t="s">
        <v>127</v>
      </c>
      <c r="D1232" s="16" t="s">
        <v>128</v>
      </c>
      <c r="E1232" s="6" t="n">
        <v>1000</v>
      </c>
      <c r="F1232" s="7" t="n">
        <v>14</v>
      </c>
      <c r="G1232" s="6" t="n">
        <v>38.39</v>
      </c>
      <c r="H1232" s="6" t="n">
        <v>70</v>
      </c>
      <c r="I1232" s="6" t="n">
        <v>537.46</v>
      </c>
      <c r="J1232" s="6" t="n">
        <v>467.46</v>
      </c>
    </row>
    <row collapsed="false" customFormat="false" customHeight="false" hidden="false" ht="12.1" outlineLevel="0" r="1233">
      <c r="A1233" s="35" t="n">
        <v>46842</v>
      </c>
      <c r="B1233" s="16" t="s">
        <v>1375</v>
      </c>
      <c r="C1233" s="16" t="s">
        <v>254</v>
      </c>
      <c r="D1233" s="16" t="s">
        <v>255</v>
      </c>
      <c r="E1233" s="6" t="n">
        <v>1000</v>
      </c>
      <c r="F1233" s="7" t="n">
        <v>1</v>
      </c>
      <c r="G1233" s="6" t="n">
        <v>11.38</v>
      </c>
      <c r="H1233" s="6" t="n">
        <v>1</v>
      </c>
      <c r="I1233" s="6" t="n">
        <v>11.38</v>
      </c>
      <c r="J1233" s="6" t="n">
        <v>10.38</v>
      </c>
    </row>
    <row collapsed="false" customFormat="false" customHeight="false" hidden="false" ht="12.1" outlineLevel="0" r="1234">
      <c r="A1234" s="35" t="n">
        <v>46847</v>
      </c>
      <c r="B1234" s="16" t="s">
        <v>1375</v>
      </c>
      <c r="C1234" s="16" t="s">
        <v>142</v>
      </c>
      <c r="D1234" s="16" t="s">
        <v>143</v>
      </c>
      <c r="E1234" s="6" t="n">
        <v>1000</v>
      </c>
      <c r="F1234" s="7" t="n">
        <v>5</v>
      </c>
      <c r="G1234" s="6" t="n">
        <v>102.92</v>
      </c>
      <c r="H1234" s="6" t="n">
        <v>67</v>
      </c>
      <c r="I1234" s="6" t="n">
        <v>514.6</v>
      </c>
      <c r="J1234" s="6" t="n">
        <v>447.6</v>
      </c>
    </row>
    <row collapsed="false" customFormat="false" customHeight="false" hidden="false" ht="12.1" outlineLevel="0" r="1235">
      <c r="A1235" s="35" t="n">
        <v>46847</v>
      </c>
      <c r="B1235" s="16" t="s">
        <v>1375</v>
      </c>
      <c r="C1235" s="16" t="s">
        <v>121</v>
      </c>
      <c r="D1235" s="16" t="s">
        <v>122</v>
      </c>
      <c r="E1235" s="6" t="n">
        <v>1000</v>
      </c>
      <c r="F1235" s="7" t="n">
        <v>12</v>
      </c>
      <c r="G1235" s="6" t="n">
        <v>59.84</v>
      </c>
      <c r="H1235" s="6" t="n">
        <v>93</v>
      </c>
      <c r="I1235" s="6" t="n">
        <v>718.08</v>
      </c>
      <c r="J1235" s="6" t="n">
        <v>625.08</v>
      </c>
    </row>
    <row collapsed="false" customFormat="false" customHeight="false" hidden="false" ht="12.1" outlineLevel="0" r="1236">
      <c r="A1236" s="35" t="n">
        <v>46848</v>
      </c>
      <c r="B1236" s="16" t="s">
        <v>1375</v>
      </c>
      <c r="C1236" s="16" t="s">
        <v>246</v>
      </c>
      <c r="D1236" s="16" t="s">
        <v>247</v>
      </c>
      <c r="E1236" s="6" t="n">
        <v>1000</v>
      </c>
      <c r="F1236" s="7" t="n">
        <v>1</v>
      </c>
      <c r="G1236" s="6" t="n">
        <v>20.96</v>
      </c>
      <c r="H1236" s="6" t="n">
        <v>3</v>
      </c>
      <c r="I1236" s="6" t="n">
        <v>20.96</v>
      </c>
      <c r="J1236" s="6" t="n">
        <v>17.96</v>
      </c>
    </row>
    <row collapsed="false" customFormat="false" customHeight="false" hidden="false" ht="12.1" outlineLevel="0" r="1237">
      <c r="A1237" s="35" t="n">
        <v>46852</v>
      </c>
      <c r="B1237" s="16" t="s">
        <v>1375</v>
      </c>
      <c r="C1237" s="16" t="s">
        <v>190</v>
      </c>
      <c r="D1237" s="16" t="s">
        <v>191</v>
      </c>
      <c r="E1237" s="6" t="n">
        <v>1000</v>
      </c>
      <c r="F1237" s="7" t="n">
        <v>2</v>
      </c>
      <c r="G1237" s="6" t="n">
        <v>13.77</v>
      </c>
      <c r="H1237" s="6" t="n">
        <v>4</v>
      </c>
      <c r="I1237" s="6" t="n">
        <v>27.54</v>
      </c>
      <c r="J1237" s="6" t="n">
        <v>23.54</v>
      </c>
    </row>
    <row collapsed="false" customFormat="false" customHeight="false" hidden="false" ht="12.1" outlineLevel="0" r="1238">
      <c r="A1238" s="35" t="n">
        <v>46853</v>
      </c>
      <c r="B1238" s="16" t="s">
        <v>1375</v>
      </c>
      <c r="C1238" s="16" t="s">
        <v>263</v>
      </c>
      <c r="D1238" s="16" t="s">
        <v>264</v>
      </c>
      <c r="E1238" s="6" t="n">
        <v>1000</v>
      </c>
      <c r="F1238" s="7" t="n">
        <v>1</v>
      </c>
      <c r="G1238" s="6" t="n">
        <v>12.66</v>
      </c>
      <c r="H1238" s="6" t="n">
        <v>2</v>
      </c>
      <c r="I1238" s="6" t="n">
        <v>12.66</v>
      </c>
      <c r="J1238" s="6" t="n">
        <v>10.66</v>
      </c>
    </row>
    <row collapsed="false" customFormat="false" customHeight="false" hidden="false" ht="12.1" outlineLevel="0" r="1239">
      <c r="A1239" s="35" t="n">
        <v>46854</v>
      </c>
      <c r="B1239" s="16" t="s">
        <v>1375</v>
      </c>
      <c r="C1239" s="16" t="s">
        <v>124</v>
      </c>
      <c r="D1239" s="16" t="s">
        <v>125</v>
      </c>
      <c r="E1239" s="6" t="n">
        <v>1000</v>
      </c>
      <c r="F1239" s="7" t="n">
        <v>13</v>
      </c>
      <c r="G1239" s="6" t="n">
        <v>38.15</v>
      </c>
      <c r="H1239" s="6" t="n">
        <v>64</v>
      </c>
      <c r="I1239" s="6" t="n">
        <v>495.95</v>
      </c>
      <c r="J1239" s="6" t="n">
        <v>431.95</v>
      </c>
    </row>
    <row collapsed="false" customFormat="false" customHeight="false" hidden="false" ht="12.1" outlineLevel="0" r="1240">
      <c r="A1240" s="35" t="n">
        <v>46854</v>
      </c>
      <c r="B1240" s="16" t="s">
        <v>1375</v>
      </c>
      <c r="C1240" s="16" t="s">
        <v>243</v>
      </c>
      <c r="D1240" s="16" t="s">
        <v>244</v>
      </c>
      <c r="E1240" s="6" t="n">
        <v>1000</v>
      </c>
      <c r="F1240" s="7" t="n">
        <v>1</v>
      </c>
      <c r="G1240" s="6" t="n">
        <v>14.79</v>
      </c>
      <c r="H1240" s="6" t="n">
        <v>2</v>
      </c>
      <c r="I1240" s="6" t="n">
        <v>14.79</v>
      </c>
      <c r="J1240" s="6" t="n">
        <v>12.79</v>
      </c>
    </row>
    <row collapsed="false" customFormat="false" customHeight="false" hidden="false" ht="12.1" outlineLevel="0" r="1241">
      <c r="A1241" s="35" t="n">
        <v>46855</v>
      </c>
      <c r="B1241" s="16" t="s">
        <v>1375</v>
      </c>
      <c r="C1241" s="16" t="s">
        <v>178</v>
      </c>
      <c r="D1241" s="16" t="s">
        <v>179</v>
      </c>
      <c r="E1241" s="6" t="n">
        <v>1000</v>
      </c>
      <c r="F1241" s="7" t="n">
        <v>2</v>
      </c>
      <c r="G1241" s="6" t="n">
        <v>43.13</v>
      </c>
      <c r="H1241" s="6" t="n">
        <v>11</v>
      </c>
      <c r="I1241" s="6" t="n">
        <v>86.26</v>
      </c>
      <c r="J1241" s="6" t="n">
        <v>75.26</v>
      </c>
    </row>
    <row collapsed="false" customFormat="false" customHeight="false" hidden="false" ht="12.1" outlineLevel="0" r="1242">
      <c r="A1242" s="35" t="n">
        <v>46859</v>
      </c>
      <c r="B1242" s="16" t="s">
        <v>1375</v>
      </c>
      <c r="C1242" s="16" t="s">
        <v>193</v>
      </c>
      <c r="D1242" s="16" t="s">
        <v>194</v>
      </c>
      <c r="E1242" s="6" t="n">
        <v>1000</v>
      </c>
      <c r="F1242" s="7" t="n">
        <v>2</v>
      </c>
      <c r="G1242" s="6" t="n">
        <v>12.95</v>
      </c>
      <c r="H1242" s="6" t="n">
        <v>3</v>
      </c>
      <c r="I1242" s="6" t="n">
        <v>25.9</v>
      </c>
      <c r="J1242" s="6" t="n">
        <v>22.9</v>
      </c>
    </row>
    <row collapsed="false" customFormat="false" customHeight="false" hidden="false" ht="12.1" outlineLevel="0" r="1243">
      <c r="A1243" s="35" t="n">
        <v>46861</v>
      </c>
      <c r="B1243" s="16" t="s">
        <v>1375</v>
      </c>
      <c r="C1243" s="16" t="s">
        <v>181</v>
      </c>
      <c r="D1243" s="16" t="s">
        <v>182</v>
      </c>
      <c r="E1243" s="6" t="n">
        <v>1000</v>
      </c>
      <c r="F1243" s="7" t="n">
        <v>2</v>
      </c>
      <c r="G1243" s="6" t="n">
        <v>13.15</v>
      </c>
      <c r="H1243" s="6" t="n">
        <v>3</v>
      </c>
      <c r="I1243" s="6" t="n">
        <v>26.3</v>
      </c>
      <c r="J1243" s="6" t="n">
        <v>23.3</v>
      </c>
    </row>
    <row collapsed="false" customFormat="false" customHeight="false" hidden="false" ht="12.1" outlineLevel="0" r="1244">
      <c r="A1244" s="35" t="n">
        <v>46861</v>
      </c>
      <c r="B1244" s="16" t="s">
        <v>1375</v>
      </c>
      <c r="C1244" s="16" t="s">
        <v>205</v>
      </c>
      <c r="D1244" s="16" t="s">
        <v>206</v>
      </c>
      <c r="E1244" s="6" t="n">
        <v>1000</v>
      </c>
      <c r="F1244" s="7" t="n">
        <v>2</v>
      </c>
      <c r="G1244" s="6" t="n">
        <v>64.82</v>
      </c>
      <c r="H1244" s="6" t="n">
        <v>17</v>
      </c>
      <c r="I1244" s="6" t="n">
        <v>129.64</v>
      </c>
      <c r="J1244" s="6" t="n">
        <v>112.64</v>
      </c>
    </row>
    <row collapsed="false" customFormat="false" customHeight="false" hidden="false" ht="12.1" outlineLevel="0" r="1245">
      <c r="A1245" s="35" t="n">
        <v>46861</v>
      </c>
      <c r="B1245" s="16" t="s">
        <v>1375</v>
      </c>
      <c r="C1245" s="16" t="s">
        <v>169</v>
      </c>
      <c r="D1245" s="16" t="s">
        <v>170</v>
      </c>
      <c r="E1245" s="6" t="n">
        <v>1000</v>
      </c>
      <c r="F1245" s="7" t="n">
        <v>3</v>
      </c>
      <c r="G1245" s="6" t="n">
        <v>62.33</v>
      </c>
      <c r="H1245" s="6" t="n">
        <v>24</v>
      </c>
      <c r="I1245" s="6" t="n">
        <v>186.99</v>
      </c>
      <c r="J1245" s="6" t="n">
        <v>162.99</v>
      </c>
    </row>
    <row collapsed="false" customFormat="false" customHeight="false" hidden="false" ht="12.1" outlineLevel="0" r="1246">
      <c r="A1246" s="35" t="n">
        <v>46861</v>
      </c>
      <c r="B1246" s="16" t="s">
        <v>1375</v>
      </c>
      <c r="C1246" s="16" t="s">
        <v>208</v>
      </c>
      <c r="D1246" s="16" t="s">
        <v>209</v>
      </c>
      <c r="E1246" s="6" t="n">
        <v>1000</v>
      </c>
      <c r="F1246" s="7" t="n">
        <v>2</v>
      </c>
      <c r="G1246" s="6" t="n">
        <v>64.82</v>
      </c>
      <c r="H1246" s="6" t="n">
        <v>17</v>
      </c>
      <c r="I1246" s="6" t="n">
        <v>129.64</v>
      </c>
      <c r="J1246" s="6" t="n">
        <v>112.64</v>
      </c>
    </row>
    <row collapsed="false" customFormat="false" customHeight="false" hidden="false" ht="12.1" outlineLevel="0" r="1247">
      <c r="A1247" s="35" t="n">
        <v>46863</v>
      </c>
      <c r="B1247" s="16" t="s">
        <v>1375</v>
      </c>
      <c r="C1247" s="16" t="s">
        <v>232</v>
      </c>
      <c r="D1247" s="16" t="s">
        <v>233</v>
      </c>
      <c r="E1247" s="6" t="n">
        <v>1000</v>
      </c>
      <c r="F1247" s="7" t="n">
        <v>2</v>
      </c>
      <c r="G1247" s="6" t="n">
        <v>1.64</v>
      </c>
      <c r="H1247" s="6" t="n">
        <v>0</v>
      </c>
      <c r="I1247" s="6" t="n">
        <v>3.28</v>
      </c>
      <c r="J1247" s="6" t="n">
        <v>3.28</v>
      </c>
    </row>
    <row collapsed="false" customFormat="false" customHeight="false" hidden="false" ht="12.1" outlineLevel="0" r="1248">
      <c r="A1248" s="35" t="n">
        <v>46872</v>
      </c>
      <c r="B1248" s="16" t="s">
        <v>1375</v>
      </c>
      <c r="C1248" s="16" t="s">
        <v>254</v>
      </c>
      <c r="D1248" s="16" t="s">
        <v>255</v>
      </c>
      <c r="E1248" s="6" t="n">
        <v>1000</v>
      </c>
      <c r="F1248" s="7" t="n">
        <v>1</v>
      </c>
      <c r="G1248" s="6" t="n">
        <v>11.38</v>
      </c>
      <c r="H1248" s="6" t="n">
        <v>1</v>
      </c>
      <c r="I1248" s="6" t="n">
        <v>11.38</v>
      </c>
      <c r="J1248" s="6" t="n">
        <v>10.38</v>
      </c>
    </row>
    <row collapsed="false" customFormat="false" customHeight="false" hidden="false" ht="12.1" outlineLevel="0" r="1249">
      <c r="A1249" s="35" t="n">
        <v>46877</v>
      </c>
      <c r="B1249" s="16" t="s">
        <v>1375</v>
      </c>
      <c r="C1249" s="16" t="s">
        <v>223</v>
      </c>
      <c r="D1249" s="16" t="s">
        <v>224</v>
      </c>
      <c r="E1249" s="6" t="n">
        <v>1000</v>
      </c>
      <c r="F1249" s="7" t="n">
        <v>2</v>
      </c>
      <c r="G1249" s="6" t="n">
        <v>45.38</v>
      </c>
      <c r="H1249" s="6" t="n">
        <v>12</v>
      </c>
      <c r="I1249" s="6" t="n">
        <v>90.76</v>
      </c>
      <c r="J1249" s="6" t="n">
        <v>78.76</v>
      </c>
    </row>
    <row collapsed="false" customFormat="false" customHeight="false" hidden="false" ht="12.1" outlineLevel="0" r="1250">
      <c r="A1250" s="35" t="n">
        <v>46882</v>
      </c>
      <c r="B1250" s="16" t="s">
        <v>1375</v>
      </c>
      <c r="C1250" s="16" t="s">
        <v>109</v>
      </c>
      <c r="D1250" s="16" t="s">
        <v>110</v>
      </c>
      <c r="E1250" s="6" t="n">
        <v>1000</v>
      </c>
      <c r="F1250" s="7" t="n">
        <v>11</v>
      </c>
      <c r="G1250" s="6" t="n">
        <v>99.18</v>
      </c>
      <c r="H1250" s="6" t="n">
        <v>142</v>
      </c>
      <c r="I1250" s="6" t="n">
        <v>1090.98</v>
      </c>
      <c r="J1250" s="6" t="n">
        <v>948.98</v>
      </c>
    </row>
    <row collapsed="false" customFormat="false" customHeight="false" hidden="false" ht="12.1" outlineLevel="0" r="1251">
      <c r="A1251" s="35" t="n">
        <v>46882</v>
      </c>
      <c r="B1251" s="16" t="s">
        <v>1375</v>
      </c>
      <c r="C1251" s="16" t="s">
        <v>190</v>
      </c>
      <c r="D1251" s="16" t="s">
        <v>191</v>
      </c>
      <c r="E1251" s="6" t="n">
        <v>1000</v>
      </c>
      <c r="F1251" s="7" t="n">
        <v>2</v>
      </c>
      <c r="G1251" s="6" t="n">
        <v>13.77</v>
      </c>
      <c r="H1251" s="6" t="n">
        <v>4</v>
      </c>
      <c r="I1251" s="6" t="n">
        <v>27.54</v>
      </c>
      <c r="J1251" s="6" t="n">
        <v>23.54</v>
      </c>
    </row>
    <row collapsed="false" customFormat="false" customHeight="false" hidden="false" ht="12.1" outlineLevel="0" r="1252">
      <c r="A1252" s="35" t="n">
        <v>46883</v>
      </c>
      <c r="B1252" s="16" t="s">
        <v>1375</v>
      </c>
      <c r="C1252" s="16" t="s">
        <v>263</v>
      </c>
      <c r="D1252" s="16" t="s">
        <v>264</v>
      </c>
      <c r="E1252" s="6" t="n">
        <v>1000</v>
      </c>
      <c r="F1252" s="7" t="n">
        <v>1</v>
      </c>
      <c r="G1252" s="6" t="n">
        <v>12.66</v>
      </c>
      <c r="H1252" s="6" t="n">
        <v>2</v>
      </c>
      <c r="I1252" s="6" t="n">
        <v>12.66</v>
      </c>
      <c r="J1252" s="6" t="n">
        <v>10.66</v>
      </c>
    </row>
    <row collapsed="false" customFormat="false" customHeight="false" hidden="false" ht="12.1" outlineLevel="0" r="1253">
      <c r="A1253" s="35" t="n">
        <v>46889</v>
      </c>
      <c r="B1253" s="16" t="s">
        <v>1375</v>
      </c>
      <c r="C1253" s="16" t="s">
        <v>193</v>
      </c>
      <c r="D1253" s="16" t="s">
        <v>194</v>
      </c>
      <c r="E1253" s="6" t="n">
        <v>1000</v>
      </c>
      <c r="F1253" s="7" t="n">
        <v>2</v>
      </c>
      <c r="G1253" s="6" t="n">
        <v>12.95</v>
      </c>
      <c r="H1253" s="6" t="n">
        <v>3</v>
      </c>
      <c r="I1253" s="6" t="n">
        <v>25.9</v>
      </c>
      <c r="J1253" s="6" t="n">
        <v>22.9</v>
      </c>
    </row>
    <row collapsed="false" customFormat="false" customHeight="false" hidden="false" ht="12.1" outlineLevel="0" r="1254">
      <c r="A1254" s="35" t="n">
        <v>46889</v>
      </c>
      <c r="B1254" s="16" t="s">
        <v>1375</v>
      </c>
      <c r="C1254" s="16" t="s">
        <v>139</v>
      </c>
      <c r="D1254" s="16" t="s">
        <v>140</v>
      </c>
      <c r="E1254" s="6" t="n">
        <v>1242.73</v>
      </c>
      <c r="F1254" s="7" t="n">
        <v>6</v>
      </c>
      <c r="G1254" s="6" t="n">
        <v>15.55</v>
      </c>
      <c r="H1254" s="6" t="n">
        <v>12</v>
      </c>
      <c r="I1254" s="6" t="n">
        <v>93.3</v>
      </c>
      <c r="J1254" s="6" t="n">
        <v>81.3</v>
      </c>
    </row>
    <row collapsed="false" customFormat="false" customHeight="false" hidden="false" ht="12.1" outlineLevel="0" r="1255">
      <c r="A1255" s="35" t="n">
        <v>46889</v>
      </c>
      <c r="B1255" s="16" t="s">
        <v>1375</v>
      </c>
      <c r="C1255" s="16" t="s">
        <v>136</v>
      </c>
      <c r="D1255" s="16" t="s">
        <v>137</v>
      </c>
      <c r="E1255" s="6" t="n">
        <v>1000</v>
      </c>
      <c r="F1255" s="7" t="n">
        <v>14</v>
      </c>
      <c r="G1255" s="6" t="n">
        <v>36.15</v>
      </c>
      <c r="H1255" s="6" t="n">
        <v>66</v>
      </c>
      <c r="I1255" s="6" t="n">
        <v>506.1</v>
      </c>
      <c r="J1255" s="6" t="n">
        <v>440.1</v>
      </c>
    </row>
    <row collapsed="false" customFormat="false" customHeight="false" hidden="false" ht="12.1" outlineLevel="0" r="1256">
      <c r="A1256" s="35" t="n">
        <v>46890</v>
      </c>
      <c r="B1256" s="16" t="s">
        <v>1375</v>
      </c>
      <c r="C1256" s="16" t="s">
        <v>187</v>
      </c>
      <c r="D1256" s="16" t="s">
        <v>188</v>
      </c>
      <c r="E1256" s="6" t="n">
        <v>1000</v>
      </c>
      <c r="F1256" s="7" t="n">
        <v>2</v>
      </c>
      <c r="G1256" s="6" t="n">
        <v>39.87</v>
      </c>
      <c r="H1256" s="6" t="n">
        <v>10</v>
      </c>
      <c r="I1256" s="6" t="n">
        <v>79.74</v>
      </c>
      <c r="J1256" s="6" t="n">
        <v>69.74</v>
      </c>
    </row>
    <row collapsed="false" customFormat="false" customHeight="false" hidden="false" ht="12.1" outlineLevel="0" r="1257">
      <c r="A1257" s="35" t="n">
        <v>46891</v>
      </c>
      <c r="B1257" s="16" t="s">
        <v>1375</v>
      </c>
      <c r="C1257" s="16" t="s">
        <v>181</v>
      </c>
      <c r="D1257" s="16" t="s">
        <v>182</v>
      </c>
      <c r="E1257" s="6" t="n">
        <v>1000</v>
      </c>
      <c r="F1257" s="7" t="n">
        <v>2</v>
      </c>
      <c r="G1257" s="6" t="n">
        <v>13.15</v>
      </c>
      <c r="H1257" s="6" t="n">
        <v>3</v>
      </c>
      <c r="I1257" s="6" t="n">
        <v>26.3</v>
      </c>
      <c r="J1257" s="6" t="n">
        <v>23.3</v>
      </c>
    </row>
    <row collapsed="false" customFormat="false" customHeight="false" hidden="false" ht="12.1" outlineLevel="0" r="1258">
      <c r="A1258" s="35" t="n">
        <v>46893</v>
      </c>
      <c r="B1258" s="16" t="s">
        <v>1375</v>
      </c>
      <c r="C1258" s="16" t="s">
        <v>232</v>
      </c>
      <c r="D1258" s="16" t="s">
        <v>233</v>
      </c>
      <c r="E1258" s="6" t="n">
        <v>1000</v>
      </c>
      <c r="F1258" s="7" t="n">
        <v>2</v>
      </c>
      <c r="G1258" s="6" t="n">
        <v>1.64</v>
      </c>
      <c r="H1258" s="6" t="n">
        <v>0</v>
      </c>
      <c r="I1258" s="6" t="n">
        <v>3.28</v>
      </c>
      <c r="J1258" s="6" t="n">
        <v>3.28</v>
      </c>
    </row>
    <row collapsed="false" customFormat="false" customHeight="false" hidden="false" ht="12.1" outlineLevel="0" r="1259">
      <c r="A1259" s="35" t="n">
        <v>46896</v>
      </c>
      <c r="B1259" s="16" t="s">
        <v>1375</v>
      </c>
      <c r="C1259" s="16" t="s">
        <v>115</v>
      </c>
      <c r="D1259" s="16" t="s">
        <v>116</v>
      </c>
      <c r="E1259" s="6" t="n">
        <v>1000</v>
      </c>
      <c r="F1259" s="7" t="n">
        <v>13</v>
      </c>
      <c r="G1259" s="6" t="n">
        <v>61.08</v>
      </c>
      <c r="H1259" s="6" t="n">
        <v>103</v>
      </c>
      <c r="I1259" s="6" t="n">
        <v>794.04</v>
      </c>
      <c r="J1259" s="6" t="n">
        <v>691.04</v>
      </c>
    </row>
    <row collapsed="false" customFormat="false" customHeight="false" hidden="false" ht="12.1" outlineLevel="0" r="1260">
      <c r="A1260" s="35" t="n">
        <v>46896</v>
      </c>
      <c r="B1260" s="16" t="s">
        <v>1375</v>
      </c>
      <c r="C1260" s="16" t="s">
        <v>118</v>
      </c>
      <c r="D1260" s="16" t="s">
        <v>119</v>
      </c>
      <c r="E1260" s="6" t="n">
        <v>1000</v>
      </c>
      <c r="F1260" s="7" t="n">
        <v>14</v>
      </c>
      <c r="G1260" s="6" t="n">
        <v>47.37</v>
      </c>
      <c r="H1260" s="6" t="n">
        <v>86</v>
      </c>
      <c r="I1260" s="6" t="n">
        <v>663.18</v>
      </c>
      <c r="J1260" s="6" t="n">
        <v>577.18</v>
      </c>
    </row>
    <row collapsed="false" customFormat="false" customHeight="false" hidden="false" ht="12.1" outlineLevel="0" r="1261">
      <c r="A1261" s="35" t="n">
        <v>46902</v>
      </c>
      <c r="B1261" s="16" t="s">
        <v>1375</v>
      </c>
      <c r="C1261" s="16" t="s">
        <v>254</v>
      </c>
      <c r="D1261" s="16" t="s">
        <v>255</v>
      </c>
      <c r="E1261" s="6" t="n">
        <v>1000</v>
      </c>
      <c r="F1261" s="7" t="n">
        <v>1</v>
      </c>
      <c r="G1261" s="6" t="n">
        <v>11.38</v>
      </c>
      <c r="H1261" s="6" t="n">
        <v>1</v>
      </c>
      <c r="I1261" s="6" t="n">
        <v>11.38</v>
      </c>
      <c r="J1261" s="6" t="n">
        <v>10.38</v>
      </c>
    </row>
    <row collapsed="false" customFormat="false" customHeight="false" hidden="false" ht="12.1" outlineLevel="0" r="1262">
      <c r="A1262" s="35" t="n">
        <v>46903</v>
      </c>
      <c r="B1262" s="16" t="s">
        <v>1375</v>
      </c>
      <c r="C1262" s="16" t="s">
        <v>94</v>
      </c>
      <c r="D1262" s="16" t="s">
        <v>95</v>
      </c>
      <c r="E1262" s="6" t="n">
        <v>1000</v>
      </c>
      <c r="F1262" s="7" t="n">
        <v>23</v>
      </c>
      <c r="G1262" s="6" t="n">
        <v>35.4</v>
      </c>
      <c r="H1262" s="6" t="n">
        <v>106</v>
      </c>
      <c r="I1262" s="6" t="n">
        <v>814.2</v>
      </c>
      <c r="J1262" s="6" t="n">
        <v>708.2</v>
      </c>
    </row>
    <row collapsed="false" customFormat="false" customHeight="false" hidden="false" ht="12.1" outlineLevel="0" r="1263">
      <c r="A1263" s="35" t="n">
        <v>46903</v>
      </c>
      <c r="B1263" s="16" t="s">
        <v>1375</v>
      </c>
      <c r="C1263" s="16" t="s">
        <v>100</v>
      </c>
      <c r="D1263" s="16" t="s">
        <v>101</v>
      </c>
      <c r="E1263" s="6" t="n">
        <v>1000</v>
      </c>
      <c r="F1263" s="7" t="n">
        <v>14</v>
      </c>
      <c r="G1263" s="6" t="n">
        <v>61.08</v>
      </c>
      <c r="H1263" s="6" t="n">
        <v>111</v>
      </c>
      <c r="I1263" s="6" t="n">
        <v>855.12</v>
      </c>
      <c r="J1263" s="6" t="n">
        <v>744.12</v>
      </c>
    </row>
    <row collapsed="false" customFormat="false" customHeight="false" hidden="false" ht="12.1" outlineLevel="0" r="1264">
      <c r="A1264" s="35" t="n">
        <v>46903</v>
      </c>
      <c r="B1264" s="16" t="s">
        <v>1375</v>
      </c>
      <c r="C1264" s="16" t="s">
        <v>91</v>
      </c>
      <c r="D1264" s="16" t="s">
        <v>92</v>
      </c>
      <c r="E1264" s="6" t="n">
        <v>1000</v>
      </c>
      <c r="F1264" s="7" t="n">
        <v>19</v>
      </c>
      <c r="G1264" s="6" t="n">
        <v>48.87</v>
      </c>
      <c r="H1264" s="6" t="n">
        <v>121</v>
      </c>
      <c r="I1264" s="6" t="n">
        <v>928.53</v>
      </c>
      <c r="J1264" s="6" t="n">
        <v>807.53</v>
      </c>
    </row>
    <row collapsed="false" customFormat="false" customHeight="false" hidden="false" ht="12.1" outlineLevel="0" r="1265">
      <c r="A1265" s="35" t="n">
        <v>46903</v>
      </c>
      <c r="B1265" s="16" t="s">
        <v>1375</v>
      </c>
      <c r="C1265" s="16" t="s">
        <v>329</v>
      </c>
      <c r="D1265" s="16" t="s">
        <v>330</v>
      </c>
      <c r="E1265" s="6" t="n">
        <v>1000</v>
      </c>
      <c r="F1265" s="7" t="n">
        <v>1</v>
      </c>
      <c r="G1265" s="6" t="n">
        <v>19.87</v>
      </c>
      <c r="H1265" s="6" t="n">
        <v>3</v>
      </c>
      <c r="I1265" s="6" t="n">
        <v>19.87</v>
      </c>
      <c r="J1265" s="6" t="n">
        <v>16.87</v>
      </c>
    </row>
    <row collapsed="false" customFormat="false" customHeight="false" hidden="false" ht="12.1" outlineLevel="0" r="1266">
      <c r="A1266" s="35" t="n">
        <v>46912</v>
      </c>
      <c r="B1266" s="16" t="s">
        <v>1375</v>
      </c>
      <c r="C1266" s="16" t="s">
        <v>229</v>
      </c>
      <c r="D1266" s="16" t="s">
        <v>230</v>
      </c>
      <c r="E1266" s="6" t="n">
        <v>1000</v>
      </c>
      <c r="F1266" s="7" t="n">
        <v>2</v>
      </c>
      <c r="G1266" s="6" t="n">
        <v>17.83</v>
      </c>
      <c r="H1266" s="6" t="n">
        <v>5</v>
      </c>
      <c r="I1266" s="6" t="n">
        <v>35.66</v>
      </c>
      <c r="J1266" s="6" t="n">
        <v>30.66</v>
      </c>
    </row>
    <row collapsed="false" customFormat="false" customHeight="false" hidden="false" ht="12.1" outlineLevel="0" r="1267">
      <c r="A1267" s="35" t="n">
        <v>46912</v>
      </c>
      <c r="B1267" s="16" t="s">
        <v>1375</v>
      </c>
      <c r="C1267" s="16" t="s">
        <v>190</v>
      </c>
      <c r="D1267" s="16" t="s">
        <v>191</v>
      </c>
      <c r="E1267" s="6" t="n">
        <v>1000</v>
      </c>
      <c r="F1267" s="7" t="n">
        <v>2</v>
      </c>
      <c r="G1267" s="6" t="n">
        <v>13.77</v>
      </c>
      <c r="H1267" s="6" t="n">
        <v>4</v>
      </c>
      <c r="I1267" s="6" t="n">
        <v>27.54</v>
      </c>
      <c r="J1267" s="6" t="n">
        <v>23.54</v>
      </c>
    </row>
    <row collapsed="false" customFormat="false" customHeight="false" hidden="false" ht="12.1" outlineLevel="0" r="1268">
      <c r="A1268" s="35" t="n">
        <v>46913</v>
      </c>
      <c r="B1268" s="16" t="s">
        <v>1375</v>
      </c>
      <c r="C1268" s="16" t="s">
        <v>263</v>
      </c>
      <c r="D1268" s="16" t="s">
        <v>264</v>
      </c>
      <c r="E1268" s="6" t="n">
        <v>1000</v>
      </c>
      <c r="F1268" s="7" t="n">
        <v>1</v>
      </c>
      <c r="G1268" s="6" t="n">
        <v>12.66</v>
      </c>
      <c r="H1268" s="6" t="n">
        <v>2</v>
      </c>
      <c r="I1268" s="6" t="n">
        <v>12.66</v>
      </c>
      <c r="J1268" s="6" t="n">
        <v>10.66</v>
      </c>
    </row>
    <row collapsed="false" customFormat="false" customHeight="false" hidden="false" ht="12.1" outlineLevel="0" r="1269">
      <c r="A1269" s="35" t="n">
        <v>46917</v>
      </c>
      <c r="B1269" s="16" t="s">
        <v>1375</v>
      </c>
      <c r="C1269" s="16" t="s">
        <v>88</v>
      </c>
      <c r="D1269" s="16" t="s">
        <v>89</v>
      </c>
      <c r="E1269" s="6" t="n">
        <v>1000</v>
      </c>
      <c r="F1269" s="7" t="n">
        <v>14</v>
      </c>
      <c r="G1269" s="6" t="n">
        <v>95.44</v>
      </c>
      <c r="H1269" s="6" t="n">
        <v>174</v>
      </c>
      <c r="I1269" s="6" t="n">
        <v>1336.16</v>
      </c>
      <c r="J1269" s="6" t="n">
        <v>1162.16</v>
      </c>
    </row>
    <row collapsed="false" customFormat="false" customHeight="false" hidden="false" ht="12.1" outlineLevel="0" r="1270">
      <c r="A1270" s="35" t="n">
        <v>46919</v>
      </c>
      <c r="B1270" s="16" t="s">
        <v>1375</v>
      </c>
      <c r="C1270" s="16" t="s">
        <v>193</v>
      </c>
      <c r="D1270" s="16" t="s">
        <v>194</v>
      </c>
      <c r="E1270" s="6" t="n">
        <v>1000</v>
      </c>
      <c r="F1270" s="7" t="n">
        <v>2</v>
      </c>
      <c r="G1270" s="6" t="n">
        <v>12.95</v>
      </c>
      <c r="H1270" s="6" t="n">
        <v>3</v>
      </c>
      <c r="I1270" s="6" t="n">
        <v>25.9</v>
      </c>
      <c r="J1270" s="6" t="n">
        <v>22.9</v>
      </c>
    </row>
    <row collapsed="false" customFormat="false" customHeight="false" hidden="false" ht="12.1" outlineLevel="0" r="1271">
      <c r="A1271" s="35" t="n">
        <v>46921</v>
      </c>
      <c r="B1271" s="16" t="s">
        <v>1375</v>
      </c>
      <c r="C1271" s="16" t="s">
        <v>181</v>
      </c>
      <c r="D1271" s="16" t="s">
        <v>182</v>
      </c>
      <c r="E1271" s="6" t="n">
        <v>1000</v>
      </c>
      <c r="F1271" s="7" t="n">
        <v>2</v>
      </c>
      <c r="G1271" s="6" t="n">
        <v>13.15</v>
      </c>
      <c r="H1271" s="6" t="n">
        <v>3</v>
      </c>
      <c r="I1271" s="6" t="n">
        <v>26.3</v>
      </c>
      <c r="J1271" s="6" t="n">
        <v>23.3</v>
      </c>
    </row>
    <row collapsed="false" customFormat="false" customHeight="false" hidden="false" ht="12.1" outlineLevel="0" r="1272">
      <c r="A1272" s="35" t="n">
        <v>46923</v>
      </c>
      <c r="B1272" s="16" t="s">
        <v>1375</v>
      </c>
      <c r="C1272" s="16" t="s">
        <v>232</v>
      </c>
      <c r="D1272" s="16" t="s">
        <v>233</v>
      </c>
      <c r="E1272" s="6" t="n">
        <v>1000</v>
      </c>
      <c r="F1272" s="7" t="n">
        <v>2</v>
      </c>
      <c r="G1272" s="6" t="n">
        <v>1.64</v>
      </c>
      <c r="H1272" s="6" t="n">
        <v>0</v>
      </c>
      <c r="I1272" s="6" t="n">
        <v>3.28</v>
      </c>
      <c r="J1272" s="6" t="n">
        <v>3.28</v>
      </c>
    </row>
    <row collapsed="false" customFormat="false" customHeight="false" hidden="false" ht="12.1" outlineLevel="0" r="1273">
      <c r="A1273" s="35" t="n">
        <v>46924</v>
      </c>
      <c r="B1273" s="16" t="s">
        <v>1375</v>
      </c>
      <c r="C1273" s="16" t="s">
        <v>145</v>
      </c>
      <c r="D1273" s="16" t="s">
        <v>146</v>
      </c>
      <c r="E1273" s="6" t="n">
        <v>1000</v>
      </c>
      <c r="F1273" s="7" t="n">
        <v>6</v>
      </c>
      <c r="G1273" s="6" t="n">
        <v>59.84</v>
      </c>
      <c r="H1273" s="6" t="n">
        <v>47</v>
      </c>
      <c r="I1273" s="6" t="n">
        <v>359.04</v>
      </c>
      <c r="J1273" s="6" t="n">
        <v>312.04</v>
      </c>
    </row>
    <row collapsed="false" customFormat="false" customHeight="false" hidden="false" ht="12.1" outlineLevel="0" r="1274">
      <c r="A1274" s="35" t="n">
        <v>46924</v>
      </c>
      <c r="B1274" s="16" t="s">
        <v>1375</v>
      </c>
      <c r="C1274" s="16" t="s">
        <v>148</v>
      </c>
      <c r="D1274" s="16" t="s">
        <v>149</v>
      </c>
      <c r="E1274" s="6" t="n">
        <v>1000</v>
      </c>
      <c r="F1274" s="7" t="n">
        <v>6</v>
      </c>
      <c r="G1274" s="6" t="n">
        <v>54.85</v>
      </c>
      <c r="H1274" s="6" t="n">
        <v>43</v>
      </c>
      <c r="I1274" s="6" t="n">
        <v>329.1</v>
      </c>
      <c r="J1274" s="6" t="n">
        <v>286.1</v>
      </c>
    </row>
    <row collapsed="false" customFormat="false" customHeight="false" hidden="false" ht="12.1" outlineLevel="0" r="1275">
      <c r="A1275" s="35" t="n">
        <v>46932</v>
      </c>
      <c r="B1275" s="16" t="s">
        <v>1375</v>
      </c>
      <c r="C1275" s="16" t="s">
        <v>254</v>
      </c>
      <c r="D1275" s="16" t="s">
        <v>255</v>
      </c>
      <c r="E1275" s="6" t="n">
        <v>1000</v>
      </c>
      <c r="F1275" s="7" t="n">
        <v>1</v>
      </c>
      <c r="G1275" s="6" t="n">
        <v>11.38</v>
      </c>
      <c r="H1275" s="6" t="n">
        <v>1</v>
      </c>
      <c r="I1275" s="6" t="n">
        <v>11.38</v>
      </c>
      <c r="J1275" s="6" t="n">
        <v>10.38</v>
      </c>
    </row>
    <row collapsed="false" customFormat="false" customHeight="false" hidden="false" ht="12.1" outlineLevel="0" r="1276">
      <c r="A1276" s="35" t="n">
        <v>46936</v>
      </c>
      <c r="B1276" s="16" t="s">
        <v>1375</v>
      </c>
      <c r="C1276" s="16" t="s">
        <v>326</v>
      </c>
      <c r="D1276" s="16" t="s">
        <v>327</v>
      </c>
      <c r="E1276" s="6" t="n">
        <v>1000</v>
      </c>
      <c r="F1276" s="7" t="n">
        <v>1</v>
      </c>
      <c r="G1276" s="6" t="n">
        <v>44.88</v>
      </c>
      <c r="H1276" s="6" t="n">
        <v>6</v>
      </c>
      <c r="I1276" s="6" t="n">
        <v>44.88</v>
      </c>
      <c r="J1276" s="6" t="n">
        <v>38.88</v>
      </c>
    </row>
    <row collapsed="false" customFormat="false" customHeight="false" hidden="false" ht="12.1" outlineLevel="0" r="1277">
      <c r="A1277" s="35" t="n">
        <v>46942</v>
      </c>
      <c r="B1277" s="16" t="s">
        <v>1375</v>
      </c>
      <c r="C1277" s="16" t="s">
        <v>190</v>
      </c>
      <c r="D1277" s="16" t="s">
        <v>191</v>
      </c>
      <c r="E1277" s="6" t="n">
        <v>1000</v>
      </c>
      <c r="F1277" s="7" t="n">
        <v>2</v>
      </c>
      <c r="G1277" s="6" t="n">
        <v>13.77</v>
      </c>
      <c r="H1277" s="6" t="n">
        <v>4</v>
      </c>
      <c r="I1277" s="6" t="n">
        <v>27.54</v>
      </c>
      <c r="J1277" s="6" t="n">
        <v>23.54</v>
      </c>
    </row>
    <row collapsed="false" customFormat="false" customHeight="false" hidden="false" ht="12.1" outlineLevel="0" r="1278">
      <c r="A1278" s="35" t="n">
        <v>46946</v>
      </c>
      <c r="B1278" s="16" t="s">
        <v>1375</v>
      </c>
      <c r="C1278" s="16" t="s">
        <v>178</v>
      </c>
      <c r="D1278" s="16" t="s">
        <v>179</v>
      </c>
      <c r="E1278" s="6" t="n">
        <v>1000</v>
      </c>
      <c r="F1278" s="7" t="n">
        <v>2</v>
      </c>
      <c r="G1278" s="6" t="n">
        <v>43.13</v>
      </c>
      <c r="H1278" s="6" t="n">
        <v>11</v>
      </c>
      <c r="I1278" s="6" t="n">
        <v>86.26</v>
      </c>
      <c r="J1278" s="6" t="n">
        <v>75.26</v>
      </c>
    </row>
    <row collapsed="false" customFormat="false" customHeight="false" hidden="false" ht="12.1" outlineLevel="0" r="1279">
      <c r="A1279" s="35" t="n">
        <v>46949</v>
      </c>
      <c r="B1279" s="16" t="s">
        <v>1375</v>
      </c>
      <c r="C1279" s="16" t="s">
        <v>193</v>
      </c>
      <c r="D1279" s="16" t="s">
        <v>194</v>
      </c>
      <c r="E1279" s="6" t="n">
        <v>1000</v>
      </c>
      <c r="F1279" s="7" t="n">
        <v>2</v>
      </c>
      <c r="G1279" s="6" t="n">
        <v>12.95</v>
      </c>
      <c r="H1279" s="6" t="n">
        <v>3</v>
      </c>
      <c r="I1279" s="6" t="n">
        <v>25.9</v>
      </c>
      <c r="J1279" s="6" t="n">
        <v>22.9</v>
      </c>
    </row>
    <row collapsed="false" customFormat="false" customHeight="false" hidden="false" ht="12.1" outlineLevel="0" r="1280">
      <c r="A1280" s="35" t="n">
        <v>46951</v>
      </c>
      <c r="B1280" s="16" t="s">
        <v>1375</v>
      </c>
      <c r="C1280" s="16" t="s">
        <v>181</v>
      </c>
      <c r="D1280" s="16" t="s">
        <v>182</v>
      </c>
      <c r="E1280" s="6" t="n">
        <v>1000</v>
      </c>
      <c r="F1280" s="7" t="n">
        <v>2</v>
      </c>
      <c r="G1280" s="6" t="n">
        <v>13.15</v>
      </c>
      <c r="H1280" s="6" t="n">
        <v>3</v>
      </c>
      <c r="I1280" s="6" t="n">
        <v>26.3</v>
      </c>
      <c r="J1280" s="6" t="n">
        <v>23.3</v>
      </c>
    </row>
    <row collapsed="false" customFormat="false" customHeight="false" hidden="false" ht="12.1" outlineLevel="0" r="1281">
      <c r="A1281" s="35" t="n">
        <v>46953</v>
      </c>
      <c r="B1281" s="16" t="s">
        <v>1375</v>
      </c>
      <c r="C1281" s="16" t="s">
        <v>232</v>
      </c>
      <c r="D1281" s="16" t="s">
        <v>233</v>
      </c>
      <c r="E1281" s="6" t="n">
        <v>1000</v>
      </c>
      <c r="F1281" s="7" t="n">
        <v>2</v>
      </c>
      <c r="G1281" s="6" t="n">
        <v>1.64</v>
      </c>
      <c r="H1281" s="6" t="n">
        <v>0</v>
      </c>
      <c r="I1281" s="6" t="n">
        <v>3.28</v>
      </c>
      <c r="J1281" s="6" t="n">
        <v>3.28</v>
      </c>
    </row>
    <row collapsed="false" customFormat="false" customHeight="false" hidden="false" ht="12.1" outlineLevel="0" r="1282">
      <c r="A1282" s="35" t="n">
        <v>46959</v>
      </c>
      <c r="B1282" s="16" t="s">
        <v>1375</v>
      </c>
      <c r="C1282" s="16" t="s">
        <v>154</v>
      </c>
      <c r="D1282" s="16" t="s">
        <v>155</v>
      </c>
      <c r="E1282" s="6" t="n">
        <v>1000</v>
      </c>
      <c r="F1282" s="7" t="n">
        <v>6</v>
      </c>
      <c r="G1282" s="6" t="n">
        <v>34.41</v>
      </c>
      <c r="H1282" s="6" t="n">
        <v>27</v>
      </c>
      <c r="I1282" s="6" t="n">
        <v>206.46</v>
      </c>
      <c r="J1282" s="6" t="n">
        <v>179.46</v>
      </c>
    </row>
    <row collapsed="false" customFormat="false" customHeight="false" hidden="false" ht="12.1" outlineLevel="0" r="1283">
      <c r="A1283" s="35" t="n">
        <v>46959</v>
      </c>
      <c r="B1283" s="16" t="s">
        <v>1375</v>
      </c>
      <c r="C1283" s="16" t="s">
        <v>84</v>
      </c>
      <c r="D1283" s="16" t="s">
        <v>86</v>
      </c>
      <c r="E1283" s="6" t="n">
        <v>1000</v>
      </c>
      <c r="F1283" s="7" t="n">
        <v>34</v>
      </c>
      <c r="G1283" s="6" t="n">
        <v>30.42</v>
      </c>
      <c r="H1283" s="6" t="n">
        <v>134</v>
      </c>
      <c r="I1283" s="6" t="n">
        <v>1034.28</v>
      </c>
      <c r="J1283" s="6" t="n">
        <v>900.28</v>
      </c>
    </row>
    <row collapsed="false" customFormat="false" customHeight="false" hidden="false" ht="12.1" outlineLevel="0" r="1284">
      <c r="A1284" s="35" t="n">
        <v>46961</v>
      </c>
      <c r="B1284" s="16" t="s">
        <v>1375</v>
      </c>
      <c r="C1284" s="16" t="s">
        <v>151</v>
      </c>
      <c r="D1284" s="16" t="s">
        <v>152</v>
      </c>
      <c r="E1284" s="6" t="n">
        <v>1000</v>
      </c>
      <c r="F1284" s="7" t="n">
        <v>5</v>
      </c>
      <c r="G1284" s="6" t="n">
        <v>59.84</v>
      </c>
      <c r="H1284" s="6" t="n">
        <v>39</v>
      </c>
      <c r="I1284" s="6" t="n">
        <v>299.2</v>
      </c>
      <c r="J1284" s="6" t="n">
        <v>260.2</v>
      </c>
    </row>
    <row collapsed="false" customFormat="false" customHeight="false" hidden="false" ht="12.1" outlineLevel="0" r="1285">
      <c r="A1285" s="35" t="n">
        <v>46962</v>
      </c>
      <c r="B1285" s="16" t="s">
        <v>1375</v>
      </c>
      <c r="C1285" s="16" t="s">
        <v>254</v>
      </c>
      <c r="D1285" s="16" t="s">
        <v>255</v>
      </c>
      <c r="E1285" s="6" t="n">
        <v>1000</v>
      </c>
      <c r="F1285" s="7" t="n">
        <v>1</v>
      </c>
      <c r="G1285" s="6" t="n">
        <v>11.38</v>
      </c>
      <c r="H1285" s="6" t="n">
        <v>1</v>
      </c>
      <c r="I1285" s="6" t="n">
        <v>11.38</v>
      </c>
      <c r="J1285" s="6" t="n">
        <v>10.38</v>
      </c>
    </row>
    <row collapsed="false" customFormat="false" customHeight="false" hidden="false" ht="12.1" outlineLevel="0" r="1286">
      <c r="A1286" s="35" t="n">
        <v>46973</v>
      </c>
      <c r="B1286" s="16" t="s">
        <v>1375</v>
      </c>
      <c r="C1286" s="16" t="s">
        <v>112</v>
      </c>
      <c r="D1286" s="16" t="s">
        <v>113</v>
      </c>
      <c r="E1286" s="6" t="n">
        <v>1000</v>
      </c>
      <c r="F1286" s="7" t="n">
        <v>19</v>
      </c>
      <c r="G1286" s="6" t="n">
        <v>34.9</v>
      </c>
      <c r="H1286" s="6" t="n">
        <v>86</v>
      </c>
      <c r="I1286" s="6" t="n">
        <v>663.1</v>
      </c>
      <c r="J1286" s="6" t="n">
        <v>577.1</v>
      </c>
    </row>
    <row collapsed="false" customFormat="false" customHeight="false" hidden="false" ht="12.1" outlineLevel="0" r="1287">
      <c r="A1287" s="35" t="n">
        <v>46979</v>
      </c>
      <c r="B1287" s="16" t="s">
        <v>1375</v>
      </c>
      <c r="C1287" s="16" t="s">
        <v>193</v>
      </c>
      <c r="D1287" s="16" t="s">
        <v>194</v>
      </c>
      <c r="E1287" s="6" t="n">
        <v>1000</v>
      </c>
      <c r="F1287" s="7" t="n">
        <v>2</v>
      </c>
      <c r="G1287" s="6" t="n">
        <v>12.95</v>
      </c>
      <c r="H1287" s="6" t="n">
        <v>3</v>
      </c>
      <c r="I1287" s="6" t="n">
        <v>25.9</v>
      </c>
      <c r="J1287" s="6" t="n">
        <v>22.9</v>
      </c>
    </row>
    <row collapsed="false" customFormat="false" customHeight="false" hidden="false" ht="12.1" outlineLevel="0" r="1288">
      <c r="A1288" s="35" t="n">
        <v>46981</v>
      </c>
      <c r="B1288" s="16" t="s">
        <v>1375</v>
      </c>
      <c r="C1288" s="16" t="s">
        <v>181</v>
      </c>
      <c r="D1288" s="16" t="s">
        <v>182</v>
      </c>
      <c r="E1288" s="6" t="n">
        <v>1000</v>
      </c>
      <c r="F1288" s="7" t="n">
        <v>2</v>
      </c>
      <c r="G1288" s="6" t="n">
        <v>13.15</v>
      </c>
      <c r="H1288" s="6" t="n">
        <v>3</v>
      </c>
      <c r="I1288" s="6" t="n">
        <v>26.3</v>
      </c>
      <c r="J1288" s="6" t="n">
        <v>23.3</v>
      </c>
    </row>
    <row collapsed="false" customFormat="false" customHeight="false" hidden="false" ht="12.1" outlineLevel="0" r="1289">
      <c r="A1289" s="35" t="n">
        <v>46981</v>
      </c>
      <c r="B1289" s="16" t="s">
        <v>1375</v>
      </c>
      <c r="C1289" s="16" t="s">
        <v>187</v>
      </c>
      <c r="D1289" s="16" t="s">
        <v>188</v>
      </c>
      <c r="E1289" s="6" t="n">
        <v>1000</v>
      </c>
      <c r="F1289" s="7" t="n">
        <v>2</v>
      </c>
      <c r="G1289" s="6" t="n">
        <v>39.87</v>
      </c>
      <c r="H1289" s="6" t="n">
        <v>10</v>
      </c>
      <c r="I1289" s="6" t="n">
        <v>79.74</v>
      </c>
      <c r="J1289" s="6" t="n">
        <v>69.74</v>
      </c>
    </row>
    <row collapsed="false" customFormat="false" customHeight="false" hidden="false" ht="12.1" outlineLevel="0" r="1290">
      <c r="A1290" s="35" t="n">
        <v>46983</v>
      </c>
      <c r="B1290" s="16" t="s">
        <v>1375</v>
      </c>
      <c r="C1290" s="16" t="s">
        <v>232</v>
      </c>
      <c r="D1290" s="16" t="s">
        <v>233</v>
      </c>
      <c r="E1290" s="6" t="n">
        <v>1000</v>
      </c>
      <c r="F1290" s="7" t="n">
        <v>2</v>
      </c>
      <c r="G1290" s="6" t="n">
        <v>1.64</v>
      </c>
      <c r="H1290" s="6" t="n">
        <v>0</v>
      </c>
      <c r="I1290" s="6" t="n">
        <v>3.28</v>
      </c>
      <c r="J1290" s="6" t="n">
        <v>3.28</v>
      </c>
    </row>
    <row collapsed="false" customFormat="false" customHeight="false" hidden="false" ht="12.1" outlineLevel="0" r="1291">
      <c r="A1291" s="35" t="n">
        <v>46992</v>
      </c>
      <c r="B1291" s="16" t="s">
        <v>1375</v>
      </c>
      <c r="C1291" s="16" t="s">
        <v>254</v>
      </c>
      <c r="D1291" s="16" t="s">
        <v>255</v>
      </c>
      <c r="E1291" s="6" t="n">
        <v>1000</v>
      </c>
      <c r="F1291" s="7" t="n">
        <v>1</v>
      </c>
      <c r="G1291" s="6" t="n">
        <v>11.38</v>
      </c>
      <c r="H1291" s="6" t="n">
        <v>1</v>
      </c>
      <c r="I1291" s="6" t="n">
        <v>11.38</v>
      </c>
      <c r="J1291" s="6" t="n">
        <v>10.38</v>
      </c>
    </row>
    <row collapsed="false" customFormat="false" customHeight="false" hidden="false" ht="12.1" outlineLevel="0" r="1292">
      <c r="A1292" s="35" t="n">
        <v>46994</v>
      </c>
      <c r="B1292" s="16" t="s">
        <v>1375</v>
      </c>
      <c r="C1292" s="16" t="s">
        <v>163</v>
      </c>
      <c r="D1292" s="16" t="s">
        <v>164</v>
      </c>
      <c r="E1292" s="6" t="n">
        <v>1000</v>
      </c>
      <c r="F1292" s="7" t="n">
        <v>4</v>
      </c>
      <c r="G1292" s="6" t="n">
        <v>44.88</v>
      </c>
      <c r="H1292" s="6" t="n">
        <v>23</v>
      </c>
      <c r="I1292" s="6" t="n">
        <v>179.52</v>
      </c>
      <c r="J1292" s="6" t="n">
        <v>156.52</v>
      </c>
    </row>
    <row collapsed="false" customFormat="false" customHeight="false" hidden="false" ht="12.1" outlineLevel="0" r="1293">
      <c r="A1293" s="35" t="n">
        <v>47003</v>
      </c>
      <c r="B1293" s="16" t="s">
        <v>1375</v>
      </c>
      <c r="C1293" s="16" t="s">
        <v>229</v>
      </c>
      <c r="D1293" s="16" t="s">
        <v>230</v>
      </c>
      <c r="E1293" s="6" t="n">
        <v>1000</v>
      </c>
      <c r="F1293" s="7" t="n">
        <v>2</v>
      </c>
      <c r="G1293" s="6" t="n">
        <v>17.83</v>
      </c>
      <c r="H1293" s="6" t="n">
        <v>5</v>
      </c>
      <c r="I1293" s="6" t="n">
        <v>35.66</v>
      </c>
      <c r="J1293" s="6" t="n">
        <v>30.66</v>
      </c>
    </row>
    <row collapsed="false" customFormat="false" customHeight="false" hidden="false" ht="12.1" outlineLevel="0" r="1294">
      <c r="A1294" s="35" t="n">
        <v>47008</v>
      </c>
      <c r="B1294" s="16" t="s">
        <v>1375</v>
      </c>
      <c r="C1294" s="16" t="s">
        <v>103</v>
      </c>
      <c r="D1294" s="16" t="s">
        <v>104</v>
      </c>
      <c r="E1294" s="6" t="n">
        <v>1000</v>
      </c>
      <c r="F1294" s="7" t="n">
        <v>17</v>
      </c>
      <c r="G1294" s="6" t="n">
        <v>29.42</v>
      </c>
      <c r="H1294" s="6" t="n">
        <v>65</v>
      </c>
      <c r="I1294" s="6" t="n">
        <v>500.14</v>
      </c>
      <c r="J1294" s="6" t="n">
        <v>435.14</v>
      </c>
    </row>
    <row collapsed="false" customFormat="false" customHeight="false" hidden="false" ht="12.1" outlineLevel="0" r="1295">
      <c r="A1295" s="35" t="n">
        <v>47009</v>
      </c>
      <c r="B1295" s="16" t="s">
        <v>1375</v>
      </c>
      <c r="C1295" s="16" t="s">
        <v>193</v>
      </c>
      <c r="D1295" s="16" t="s">
        <v>194</v>
      </c>
      <c r="E1295" s="6" t="n">
        <v>1000</v>
      </c>
      <c r="F1295" s="7" t="n">
        <v>2</v>
      </c>
      <c r="G1295" s="6" t="n">
        <v>12.95</v>
      </c>
      <c r="H1295" s="6" t="n">
        <v>3</v>
      </c>
      <c r="I1295" s="6" t="n">
        <v>25.9</v>
      </c>
      <c r="J1295" s="6" t="n">
        <v>22.9</v>
      </c>
    </row>
    <row collapsed="false" customFormat="false" customHeight="false" hidden="false" ht="12.1" outlineLevel="0" r="1296">
      <c r="A1296" s="35" t="n">
        <v>47011</v>
      </c>
      <c r="B1296" s="16" t="s">
        <v>1375</v>
      </c>
      <c r="C1296" s="16" t="s">
        <v>181</v>
      </c>
      <c r="D1296" s="16" t="s">
        <v>182</v>
      </c>
      <c r="E1296" s="6" t="n">
        <v>1000</v>
      </c>
      <c r="F1296" s="7" t="n">
        <v>2</v>
      </c>
      <c r="G1296" s="6" t="n">
        <v>13.15</v>
      </c>
      <c r="H1296" s="6" t="n">
        <v>3</v>
      </c>
      <c r="I1296" s="6" t="n">
        <v>26.3</v>
      </c>
      <c r="J1296" s="6" t="n">
        <v>23.3</v>
      </c>
    </row>
    <row collapsed="false" customFormat="false" customHeight="false" hidden="false" ht="12.1" outlineLevel="0" r="1297">
      <c r="A1297" s="35" t="n">
        <v>47013</v>
      </c>
      <c r="B1297" s="16" t="s">
        <v>1375</v>
      </c>
      <c r="C1297" s="16" t="s">
        <v>232</v>
      </c>
      <c r="D1297" s="16" t="s">
        <v>233</v>
      </c>
      <c r="E1297" s="6" t="n">
        <v>1000</v>
      </c>
      <c r="F1297" s="7" t="n">
        <v>2</v>
      </c>
      <c r="G1297" s="6" t="n">
        <v>1.64</v>
      </c>
      <c r="H1297" s="6" t="n">
        <v>0</v>
      </c>
      <c r="I1297" s="6" t="n">
        <v>3.28</v>
      </c>
      <c r="J1297" s="6" t="n">
        <v>3.28</v>
      </c>
    </row>
    <row collapsed="false" customFormat="false" customHeight="false" hidden="false" ht="12.1" outlineLevel="0" r="1298">
      <c r="A1298" s="35" t="n">
        <v>47013</v>
      </c>
      <c r="B1298" s="16" t="s">
        <v>1375</v>
      </c>
      <c r="C1298" s="16" t="s">
        <v>220</v>
      </c>
      <c r="D1298" s="16" t="s">
        <v>221</v>
      </c>
      <c r="E1298" s="6" t="n">
        <v>1000</v>
      </c>
      <c r="F1298" s="7" t="n">
        <v>2</v>
      </c>
      <c r="G1298" s="6" t="n">
        <v>45.38</v>
      </c>
      <c r="H1298" s="6" t="n">
        <v>12</v>
      </c>
      <c r="I1298" s="6" t="n">
        <v>90.76</v>
      </c>
      <c r="J1298" s="6" t="n">
        <v>78.76</v>
      </c>
    </row>
    <row collapsed="false" customFormat="false" customHeight="false" hidden="false" ht="12.1" outlineLevel="0" r="1299">
      <c r="A1299" s="35" t="n">
        <v>47015</v>
      </c>
      <c r="B1299" s="16" t="s">
        <v>1375</v>
      </c>
      <c r="C1299" s="16" t="s">
        <v>133</v>
      </c>
      <c r="D1299" s="16" t="s">
        <v>134</v>
      </c>
      <c r="E1299" s="6" t="n">
        <v>1000</v>
      </c>
      <c r="F1299" s="7" t="n">
        <v>12</v>
      </c>
      <c r="G1299" s="6" t="n">
        <v>42.38</v>
      </c>
      <c r="H1299" s="6" t="n">
        <v>66</v>
      </c>
      <c r="I1299" s="6" t="n">
        <v>508.56</v>
      </c>
      <c r="J1299" s="6" t="n">
        <v>442.56</v>
      </c>
    </row>
    <row collapsed="false" customFormat="false" customHeight="false" hidden="false" ht="12.1" outlineLevel="0" r="1300">
      <c r="A1300" s="35" t="n">
        <v>47015</v>
      </c>
      <c r="B1300" s="16" t="s">
        <v>1375</v>
      </c>
      <c r="C1300" s="16" t="s">
        <v>97</v>
      </c>
      <c r="D1300" s="16" t="s">
        <v>98</v>
      </c>
      <c r="E1300" s="6" t="n">
        <v>1000</v>
      </c>
      <c r="F1300" s="7" t="n">
        <v>14</v>
      </c>
      <c r="G1300" s="6" t="n">
        <v>59.84</v>
      </c>
      <c r="H1300" s="6" t="n">
        <v>109</v>
      </c>
      <c r="I1300" s="6" t="n">
        <v>837.76</v>
      </c>
      <c r="J1300" s="6" t="n">
        <v>728.76</v>
      </c>
    </row>
    <row collapsed="false" customFormat="false" customHeight="false" hidden="false" ht="12.1" outlineLevel="0" r="1301">
      <c r="A1301" s="35" t="n">
        <v>47015</v>
      </c>
      <c r="B1301" s="16" t="s">
        <v>1375</v>
      </c>
      <c r="C1301" s="16" t="s">
        <v>130</v>
      </c>
      <c r="D1301" s="16" t="s">
        <v>131</v>
      </c>
      <c r="E1301" s="6" t="n">
        <v>1000</v>
      </c>
      <c r="F1301" s="7" t="n">
        <v>11</v>
      </c>
      <c r="G1301" s="6" t="n">
        <v>56.1</v>
      </c>
      <c r="H1301" s="6" t="n">
        <v>80</v>
      </c>
      <c r="I1301" s="6" t="n">
        <v>617.1</v>
      </c>
      <c r="J1301" s="6" t="n">
        <v>537.1</v>
      </c>
    </row>
    <row collapsed="false" customFormat="false" customHeight="false" hidden="false" ht="12.1" outlineLevel="0" r="1302">
      <c r="A1302" s="35" t="n">
        <v>47015</v>
      </c>
      <c r="B1302" s="16" t="s">
        <v>1375</v>
      </c>
      <c r="C1302" s="16" t="s">
        <v>157</v>
      </c>
      <c r="D1302" s="16" t="s">
        <v>158</v>
      </c>
      <c r="E1302" s="6" t="n">
        <v>1448.61</v>
      </c>
      <c r="F1302" s="7" t="n">
        <v>4</v>
      </c>
      <c r="G1302" s="6" t="n">
        <v>18.13</v>
      </c>
      <c r="H1302" s="6" t="n">
        <v>9</v>
      </c>
      <c r="I1302" s="6" t="n">
        <v>72.52</v>
      </c>
      <c r="J1302" s="6" t="n">
        <v>63.52</v>
      </c>
    </row>
    <row collapsed="false" customFormat="false" customHeight="false" hidden="false" ht="12.1" outlineLevel="0" r="1303">
      <c r="A1303" s="35" t="n">
        <v>47022</v>
      </c>
      <c r="B1303" s="16" t="s">
        <v>1375</v>
      </c>
      <c r="C1303" s="16" t="s">
        <v>106</v>
      </c>
      <c r="D1303" s="16" t="s">
        <v>107</v>
      </c>
      <c r="E1303" s="6" t="n">
        <v>1000</v>
      </c>
      <c r="F1303" s="7" t="n">
        <v>18</v>
      </c>
      <c r="G1303" s="6" t="n">
        <v>38.39</v>
      </c>
      <c r="H1303" s="6" t="n">
        <v>90</v>
      </c>
      <c r="I1303" s="6" t="n">
        <v>691.02</v>
      </c>
      <c r="J1303" s="6" t="n">
        <v>601.02</v>
      </c>
    </row>
    <row collapsed="false" customFormat="false" customHeight="false" hidden="false" ht="12.1" outlineLevel="0" r="1304">
      <c r="A1304" s="35" t="n">
        <v>47022</v>
      </c>
      <c r="B1304" s="16" t="s">
        <v>1375</v>
      </c>
      <c r="C1304" s="16" t="s">
        <v>127</v>
      </c>
      <c r="D1304" s="16" t="s">
        <v>128</v>
      </c>
      <c r="E1304" s="6" t="n">
        <v>1000</v>
      </c>
      <c r="F1304" s="7" t="n">
        <v>14</v>
      </c>
      <c r="G1304" s="6" t="n">
        <v>38.39</v>
      </c>
      <c r="H1304" s="6" t="n">
        <v>70</v>
      </c>
      <c r="I1304" s="6" t="n">
        <v>537.46</v>
      </c>
      <c r="J1304" s="6" t="n">
        <v>467.46</v>
      </c>
    </row>
    <row collapsed="false" customFormat="false" customHeight="false" hidden="false" ht="12.1" outlineLevel="0" r="1305">
      <c r="A1305" s="35" t="n">
        <v>47022</v>
      </c>
      <c r="B1305" s="16" t="s">
        <v>1375</v>
      </c>
      <c r="C1305" s="16" t="s">
        <v>254</v>
      </c>
      <c r="D1305" s="16" t="s">
        <v>255</v>
      </c>
      <c r="E1305" s="6" t="n">
        <v>1000</v>
      </c>
      <c r="F1305" s="7" t="n">
        <v>1</v>
      </c>
      <c r="G1305" s="6" t="n">
        <v>11.38</v>
      </c>
      <c r="H1305" s="6" t="n">
        <v>1</v>
      </c>
      <c r="I1305" s="6" t="n">
        <v>11.38</v>
      </c>
      <c r="J1305" s="6" t="n">
        <v>10.38</v>
      </c>
    </row>
    <row collapsed="false" customFormat="false" customHeight="false" hidden="false" ht="12.1" outlineLevel="0" r="1306">
      <c r="A1306" s="35" t="n">
        <v>47029</v>
      </c>
      <c r="B1306" s="16" t="s">
        <v>1375</v>
      </c>
      <c r="C1306" s="16" t="s">
        <v>121</v>
      </c>
      <c r="D1306" s="16" t="s">
        <v>122</v>
      </c>
      <c r="E1306" s="6" t="n">
        <v>1000</v>
      </c>
      <c r="F1306" s="7" t="n">
        <v>12</v>
      </c>
      <c r="G1306" s="6" t="n">
        <v>59.84</v>
      </c>
      <c r="H1306" s="6" t="n">
        <v>93</v>
      </c>
      <c r="I1306" s="6" t="n">
        <v>718.08</v>
      </c>
      <c r="J1306" s="6" t="n">
        <v>625.08</v>
      </c>
    </row>
    <row collapsed="false" customFormat="false" customHeight="false" hidden="false" ht="12.1" outlineLevel="0" r="1307">
      <c r="A1307" s="35" t="n">
        <v>47029</v>
      </c>
      <c r="B1307" s="16" t="s">
        <v>1375</v>
      </c>
      <c r="C1307" s="16" t="s">
        <v>142</v>
      </c>
      <c r="D1307" s="16" t="s">
        <v>143</v>
      </c>
      <c r="E1307" s="6" t="n">
        <v>1000</v>
      </c>
      <c r="F1307" s="7" t="n">
        <v>5</v>
      </c>
      <c r="G1307" s="6" t="n">
        <v>102.92</v>
      </c>
      <c r="H1307" s="6" t="n">
        <v>67</v>
      </c>
      <c r="I1307" s="6" t="n">
        <v>514.6</v>
      </c>
      <c r="J1307" s="6" t="n">
        <v>447.6</v>
      </c>
    </row>
    <row collapsed="false" customFormat="false" customHeight="false" hidden="false" ht="12.1" outlineLevel="0" r="1308">
      <c r="A1308" s="35" t="n">
        <v>47036</v>
      </c>
      <c r="B1308" s="16" t="s">
        <v>1375</v>
      </c>
      <c r="C1308" s="16" t="s">
        <v>124</v>
      </c>
      <c r="D1308" s="16" t="s">
        <v>125</v>
      </c>
      <c r="E1308" s="6" t="n">
        <v>1000</v>
      </c>
      <c r="F1308" s="7" t="n">
        <v>13</v>
      </c>
      <c r="G1308" s="6" t="n">
        <v>38.15</v>
      </c>
      <c r="H1308" s="6" t="n">
        <v>64</v>
      </c>
      <c r="I1308" s="6" t="n">
        <v>495.95</v>
      </c>
      <c r="J1308" s="6" t="n">
        <v>431.95</v>
      </c>
    </row>
    <row collapsed="false" customFormat="false" customHeight="false" hidden="false" ht="12.1" outlineLevel="0" r="1309">
      <c r="A1309" s="35" t="n">
        <v>47037</v>
      </c>
      <c r="B1309" s="16" t="s">
        <v>1375</v>
      </c>
      <c r="C1309" s="16" t="s">
        <v>178</v>
      </c>
      <c r="D1309" s="16" t="s">
        <v>179</v>
      </c>
      <c r="E1309" s="6" t="n">
        <v>1000</v>
      </c>
      <c r="F1309" s="7" t="n">
        <v>2</v>
      </c>
      <c r="G1309" s="6" t="n">
        <v>43.13</v>
      </c>
      <c r="H1309" s="6" t="n">
        <v>11</v>
      </c>
      <c r="I1309" s="6" t="n">
        <v>86.26</v>
      </c>
      <c r="J1309" s="6" t="n">
        <v>75.26</v>
      </c>
    </row>
    <row collapsed="false" customFormat="false" customHeight="false" hidden="false" ht="12.1" outlineLevel="0" r="1310">
      <c r="A1310" s="35" t="n">
        <v>47041</v>
      </c>
      <c r="B1310" s="16" t="s">
        <v>1375</v>
      </c>
      <c r="C1310" s="16" t="s">
        <v>181</v>
      </c>
      <c r="D1310" s="16" t="s">
        <v>182</v>
      </c>
      <c r="E1310" s="6" t="n">
        <v>1000</v>
      </c>
      <c r="F1310" s="7" t="n">
        <v>2</v>
      </c>
      <c r="G1310" s="6" t="n">
        <v>13.15</v>
      </c>
      <c r="H1310" s="6" t="n">
        <v>3</v>
      </c>
      <c r="I1310" s="6" t="n">
        <v>26.3</v>
      </c>
      <c r="J1310" s="6" t="n">
        <v>23.3</v>
      </c>
    </row>
    <row collapsed="false" customFormat="false" customHeight="false" hidden="false" ht="12.1" outlineLevel="0" r="1311">
      <c r="A1311" s="35" t="n">
        <v>47043</v>
      </c>
      <c r="B1311" s="16" t="s">
        <v>1375</v>
      </c>
      <c r="C1311" s="16" t="s">
        <v>169</v>
      </c>
      <c r="D1311" s="16" t="s">
        <v>170</v>
      </c>
      <c r="E1311" s="6" t="n">
        <v>1000</v>
      </c>
      <c r="F1311" s="7" t="n">
        <v>3</v>
      </c>
      <c r="G1311" s="6" t="n">
        <v>62.33</v>
      </c>
      <c r="H1311" s="6" t="n">
        <v>24</v>
      </c>
      <c r="I1311" s="6" t="n">
        <v>186.99</v>
      </c>
      <c r="J1311" s="6" t="n">
        <v>162.99</v>
      </c>
    </row>
    <row collapsed="false" customFormat="false" customHeight="false" hidden="false" ht="12.1" outlineLevel="0" r="1312">
      <c r="A1312" s="35" t="n">
        <v>47043</v>
      </c>
      <c r="B1312" s="16" t="s">
        <v>1375</v>
      </c>
      <c r="C1312" s="16" t="s">
        <v>205</v>
      </c>
      <c r="D1312" s="16" t="s">
        <v>206</v>
      </c>
      <c r="E1312" s="6" t="n">
        <v>1000</v>
      </c>
      <c r="F1312" s="7" t="n">
        <v>2</v>
      </c>
      <c r="G1312" s="6" t="n">
        <v>64.82</v>
      </c>
      <c r="H1312" s="6" t="n">
        <v>17</v>
      </c>
      <c r="I1312" s="6" t="n">
        <v>129.64</v>
      </c>
      <c r="J1312" s="6" t="n">
        <v>112.64</v>
      </c>
    </row>
    <row collapsed="false" customFormat="false" customHeight="false" hidden="false" ht="12.1" outlineLevel="0" r="1313">
      <c r="A1313" s="35" t="n">
        <v>47043</v>
      </c>
      <c r="B1313" s="16" t="s">
        <v>1375</v>
      </c>
      <c r="C1313" s="16" t="s">
        <v>232</v>
      </c>
      <c r="D1313" s="16" t="s">
        <v>233</v>
      </c>
      <c r="E1313" s="6" t="n">
        <v>1000</v>
      </c>
      <c r="F1313" s="7" t="n">
        <v>2</v>
      </c>
      <c r="G1313" s="6" t="n">
        <v>1.64</v>
      </c>
      <c r="H1313" s="6" t="n">
        <v>0</v>
      </c>
      <c r="I1313" s="6" t="n">
        <v>3.28</v>
      </c>
      <c r="J1313" s="6" t="n">
        <v>3.28</v>
      </c>
    </row>
    <row collapsed="false" customFormat="false" customHeight="false" hidden="false" ht="12.1" outlineLevel="0" r="1314">
      <c r="A1314" s="35" t="n">
        <v>47043</v>
      </c>
      <c r="B1314" s="16" t="s">
        <v>1375</v>
      </c>
      <c r="C1314" s="16" t="s">
        <v>208</v>
      </c>
      <c r="D1314" s="16" t="s">
        <v>209</v>
      </c>
      <c r="E1314" s="6" t="n">
        <v>1000</v>
      </c>
      <c r="F1314" s="7" t="n">
        <v>2</v>
      </c>
      <c r="G1314" s="6" t="n">
        <v>64.82</v>
      </c>
      <c r="H1314" s="6" t="n">
        <v>17</v>
      </c>
      <c r="I1314" s="6" t="n">
        <v>129.64</v>
      </c>
      <c r="J1314" s="6" t="n">
        <v>112.64</v>
      </c>
    </row>
    <row collapsed="false" customFormat="false" customHeight="false" hidden="false" ht="12.1" outlineLevel="0" r="1315">
      <c r="A1315" s="35" t="n">
        <v>47052</v>
      </c>
      <c r="B1315" s="16" t="s">
        <v>1375</v>
      </c>
      <c r="C1315" s="16" t="s">
        <v>254</v>
      </c>
      <c r="D1315" s="16" t="s">
        <v>255</v>
      </c>
      <c r="E1315" s="6" t="n">
        <v>1000</v>
      </c>
      <c r="F1315" s="7" t="n">
        <v>1</v>
      </c>
      <c r="G1315" s="6" t="n">
        <v>11.38</v>
      </c>
      <c r="H1315" s="6" t="n">
        <v>1</v>
      </c>
      <c r="I1315" s="6" t="n">
        <v>11.38</v>
      </c>
      <c r="J1315" s="6" t="n">
        <v>10.38</v>
      </c>
    </row>
    <row collapsed="false" customFormat="false" customHeight="false" hidden="false" ht="12.1" outlineLevel="0" r="1316">
      <c r="A1316" s="35" t="n">
        <v>47059</v>
      </c>
      <c r="B1316" s="16" t="s">
        <v>1375</v>
      </c>
      <c r="C1316" s="16" t="s">
        <v>223</v>
      </c>
      <c r="D1316" s="16" t="s">
        <v>224</v>
      </c>
      <c r="E1316" s="6" t="n">
        <v>1000</v>
      </c>
      <c r="F1316" s="7" t="n">
        <v>2</v>
      </c>
      <c r="G1316" s="6" t="n">
        <v>45.38</v>
      </c>
      <c r="H1316" s="6" t="n">
        <v>12</v>
      </c>
      <c r="I1316" s="6" t="n">
        <v>90.76</v>
      </c>
      <c r="J1316" s="6" t="n">
        <v>78.76</v>
      </c>
    </row>
    <row collapsed="false" customFormat="false" customHeight="false" hidden="false" ht="12.1" outlineLevel="0" r="1317">
      <c r="A1317" s="35" t="n">
        <v>47064</v>
      </c>
      <c r="B1317" s="16" t="s">
        <v>1375</v>
      </c>
      <c r="C1317" s="16" t="s">
        <v>109</v>
      </c>
      <c r="D1317" s="16" t="s">
        <v>110</v>
      </c>
      <c r="E1317" s="6" t="n">
        <v>1000</v>
      </c>
      <c r="F1317" s="7" t="n">
        <v>11</v>
      </c>
      <c r="G1317" s="6" t="n">
        <v>99.18</v>
      </c>
      <c r="H1317" s="6" t="n">
        <v>142</v>
      </c>
      <c r="I1317" s="6" t="n">
        <v>1090.98</v>
      </c>
      <c r="J1317" s="6" t="n">
        <v>948.98</v>
      </c>
    </row>
    <row collapsed="false" customFormat="false" customHeight="false" hidden="false" ht="12.1" outlineLevel="0" r="1318">
      <c r="A1318" s="35" t="n">
        <v>47071</v>
      </c>
      <c r="B1318" s="16" t="s">
        <v>1375</v>
      </c>
      <c r="C1318" s="16" t="s">
        <v>139</v>
      </c>
      <c r="D1318" s="16" t="s">
        <v>140</v>
      </c>
      <c r="E1318" s="6" t="n">
        <v>1242.73</v>
      </c>
      <c r="F1318" s="7" t="n">
        <v>6</v>
      </c>
      <c r="G1318" s="6" t="n">
        <v>15.55</v>
      </c>
      <c r="H1318" s="6" t="n">
        <v>12</v>
      </c>
      <c r="I1318" s="6" t="n">
        <v>93.3</v>
      </c>
      <c r="J1318" s="6" t="n">
        <v>81.3</v>
      </c>
    </row>
    <row collapsed="false" customFormat="false" customHeight="false" hidden="false" ht="12.1" outlineLevel="0" r="1319">
      <c r="A1319" s="35" t="n">
        <v>47071</v>
      </c>
      <c r="B1319" s="16" t="s">
        <v>1375</v>
      </c>
      <c r="C1319" s="16" t="s">
        <v>136</v>
      </c>
      <c r="D1319" s="16" t="s">
        <v>137</v>
      </c>
      <c r="E1319" s="6" t="n">
        <v>1000</v>
      </c>
      <c r="F1319" s="7" t="n">
        <v>14</v>
      </c>
      <c r="G1319" s="6" t="n">
        <v>36.15</v>
      </c>
      <c r="H1319" s="6" t="n">
        <v>66</v>
      </c>
      <c r="I1319" s="6" t="n">
        <v>506.1</v>
      </c>
      <c r="J1319" s="6" t="n">
        <v>440.1</v>
      </c>
    </row>
    <row collapsed="false" customFormat="false" customHeight="false" hidden="false" ht="12.1" outlineLevel="0" r="1320">
      <c r="A1320" s="35" t="n">
        <v>47072</v>
      </c>
      <c r="B1320" s="16" t="s">
        <v>1375</v>
      </c>
      <c r="C1320" s="16" t="s">
        <v>187</v>
      </c>
      <c r="D1320" s="16" t="s">
        <v>188</v>
      </c>
      <c r="E1320" s="6" t="n">
        <v>1000</v>
      </c>
      <c r="F1320" s="7" t="n">
        <v>2</v>
      </c>
      <c r="G1320" s="6" t="n">
        <v>39.87</v>
      </c>
      <c r="H1320" s="6" t="n">
        <v>10</v>
      </c>
      <c r="I1320" s="6" t="n">
        <v>79.74</v>
      </c>
      <c r="J1320" s="6" t="n">
        <v>69.74</v>
      </c>
    </row>
    <row collapsed="false" customFormat="false" customHeight="false" hidden="false" ht="12.1" outlineLevel="0" r="1321">
      <c r="A1321" s="35" t="n">
        <v>47073</v>
      </c>
      <c r="B1321" s="16" t="s">
        <v>1375</v>
      </c>
      <c r="C1321" s="16" t="s">
        <v>232</v>
      </c>
      <c r="D1321" s="16" t="s">
        <v>233</v>
      </c>
      <c r="E1321" s="6" t="n">
        <v>1000</v>
      </c>
      <c r="F1321" s="7" t="n">
        <v>2</v>
      </c>
      <c r="G1321" s="6" t="n">
        <v>1.64</v>
      </c>
      <c r="H1321" s="6" t="n">
        <v>0</v>
      </c>
      <c r="I1321" s="6" t="n">
        <v>3.28</v>
      </c>
      <c r="J1321" s="6" t="n">
        <v>3.28</v>
      </c>
    </row>
    <row collapsed="false" customFormat="false" customHeight="false" hidden="false" ht="12.1" outlineLevel="0" r="1322">
      <c r="A1322" s="35" t="n">
        <v>47078</v>
      </c>
      <c r="B1322" s="16" t="s">
        <v>1375</v>
      </c>
      <c r="C1322" s="16" t="s">
        <v>115</v>
      </c>
      <c r="D1322" s="16" t="s">
        <v>116</v>
      </c>
      <c r="E1322" s="6" t="n">
        <v>1000</v>
      </c>
      <c r="F1322" s="7" t="n">
        <v>13</v>
      </c>
      <c r="G1322" s="6" t="n">
        <v>61.08</v>
      </c>
      <c r="H1322" s="6" t="n">
        <v>103</v>
      </c>
      <c r="I1322" s="6" t="n">
        <v>794.04</v>
      </c>
      <c r="J1322" s="6" t="n">
        <v>691.04</v>
      </c>
    </row>
    <row collapsed="false" customFormat="false" customHeight="false" hidden="false" ht="12.1" outlineLevel="0" r="1323">
      <c r="A1323" s="35" t="n">
        <v>47078</v>
      </c>
      <c r="B1323" s="16" t="s">
        <v>1375</v>
      </c>
      <c r="C1323" s="16" t="s">
        <v>118</v>
      </c>
      <c r="D1323" s="16" t="s">
        <v>119</v>
      </c>
      <c r="E1323" s="6" t="n">
        <v>1000</v>
      </c>
      <c r="F1323" s="7" t="n">
        <v>14</v>
      </c>
      <c r="G1323" s="6" t="n">
        <v>47.37</v>
      </c>
      <c r="H1323" s="6" t="n">
        <v>86</v>
      </c>
      <c r="I1323" s="6" t="n">
        <v>663.18</v>
      </c>
      <c r="J1323" s="6" t="n">
        <v>577.18</v>
      </c>
    </row>
    <row collapsed="false" customFormat="false" customHeight="false" hidden="false" ht="12.1" outlineLevel="0" r="1324">
      <c r="A1324" s="35" t="n">
        <v>47082</v>
      </c>
      <c r="B1324" s="16" t="s">
        <v>1375</v>
      </c>
      <c r="C1324" s="16" t="s">
        <v>254</v>
      </c>
      <c r="D1324" s="16" t="s">
        <v>255</v>
      </c>
      <c r="E1324" s="6" t="n">
        <v>1000</v>
      </c>
      <c r="F1324" s="7" t="n">
        <v>1</v>
      </c>
      <c r="G1324" s="6" t="n">
        <v>11.38</v>
      </c>
      <c r="H1324" s="6" t="n">
        <v>1</v>
      </c>
      <c r="I1324" s="6" t="n">
        <v>11.38</v>
      </c>
      <c r="J1324" s="6" t="n">
        <v>10.38</v>
      </c>
    </row>
    <row collapsed="false" customFormat="false" customHeight="false" hidden="false" ht="12.1" outlineLevel="0" r="1325">
      <c r="A1325" s="35" t="n">
        <v>47085</v>
      </c>
      <c r="B1325" s="16" t="s">
        <v>1375</v>
      </c>
      <c r="C1325" s="16" t="s">
        <v>100</v>
      </c>
      <c r="D1325" s="16" t="s">
        <v>101</v>
      </c>
      <c r="E1325" s="6" t="n">
        <v>1000</v>
      </c>
      <c r="F1325" s="7" t="n">
        <v>14</v>
      </c>
      <c r="G1325" s="6" t="n">
        <v>61.08</v>
      </c>
      <c r="H1325" s="6" t="n">
        <v>111</v>
      </c>
      <c r="I1325" s="6" t="n">
        <v>855.12</v>
      </c>
      <c r="J1325" s="6" t="n">
        <v>744.12</v>
      </c>
    </row>
    <row collapsed="false" customFormat="false" customHeight="false" hidden="false" ht="12.1" outlineLevel="0" r="1326">
      <c r="A1326" s="35" t="n">
        <v>47085</v>
      </c>
      <c r="B1326" s="16" t="s">
        <v>1375</v>
      </c>
      <c r="C1326" s="16" t="s">
        <v>91</v>
      </c>
      <c r="D1326" s="16" t="s">
        <v>92</v>
      </c>
      <c r="E1326" s="6" t="n">
        <v>1000</v>
      </c>
      <c r="F1326" s="7" t="n">
        <v>19</v>
      </c>
      <c r="G1326" s="6" t="n">
        <v>48.87</v>
      </c>
      <c r="H1326" s="6" t="n">
        <v>121</v>
      </c>
      <c r="I1326" s="6" t="n">
        <v>928.53</v>
      </c>
      <c r="J1326" s="6" t="n">
        <v>807.53</v>
      </c>
    </row>
    <row collapsed="false" customFormat="false" customHeight="false" hidden="false" ht="12.1" outlineLevel="0" r="1327">
      <c r="A1327" s="35" t="n">
        <v>47085</v>
      </c>
      <c r="B1327" s="16" t="s">
        <v>1375</v>
      </c>
      <c r="C1327" s="16" t="s">
        <v>94</v>
      </c>
      <c r="D1327" s="16" t="s">
        <v>95</v>
      </c>
      <c r="E1327" s="6" t="n">
        <v>1000</v>
      </c>
      <c r="F1327" s="7" t="n">
        <v>23</v>
      </c>
      <c r="G1327" s="6" t="n">
        <v>35.4</v>
      </c>
      <c r="H1327" s="6" t="n">
        <v>106</v>
      </c>
      <c r="I1327" s="6" t="n">
        <v>814.2</v>
      </c>
      <c r="J1327" s="6" t="n">
        <v>708.2</v>
      </c>
    </row>
    <row collapsed="false" customFormat="false" customHeight="false" hidden="false" ht="12.1" outlineLevel="0" r="1328">
      <c r="A1328" s="35" t="n">
        <v>47094</v>
      </c>
      <c r="B1328" s="16" t="s">
        <v>1375</v>
      </c>
      <c r="C1328" s="16" t="s">
        <v>229</v>
      </c>
      <c r="D1328" s="16" t="s">
        <v>230</v>
      </c>
      <c r="E1328" s="6" t="n">
        <v>1000</v>
      </c>
      <c r="F1328" s="7" t="n">
        <v>2</v>
      </c>
      <c r="G1328" s="6" t="n">
        <v>17.83</v>
      </c>
      <c r="H1328" s="6" t="n">
        <v>5</v>
      </c>
      <c r="I1328" s="6" t="n">
        <v>35.66</v>
      </c>
      <c r="J1328" s="6" t="n">
        <v>30.66</v>
      </c>
    </row>
    <row collapsed="false" customFormat="false" customHeight="false" hidden="false" ht="12.1" outlineLevel="0" r="1329">
      <c r="A1329" s="35" t="n">
        <v>47099</v>
      </c>
      <c r="B1329" s="16" t="s">
        <v>1375</v>
      </c>
      <c r="C1329" s="16" t="s">
        <v>88</v>
      </c>
      <c r="D1329" s="16" t="s">
        <v>89</v>
      </c>
      <c r="E1329" s="6" t="n">
        <v>1000</v>
      </c>
      <c r="F1329" s="7" t="n">
        <v>14</v>
      </c>
      <c r="G1329" s="6" t="n">
        <v>95.44</v>
      </c>
      <c r="H1329" s="6" t="n">
        <v>174</v>
      </c>
      <c r="I1329" s="6" t="n">
        <v>1336.16</v>
      </c>
      <c r="J1329" s="6" t="n">
        <v>1162.16</v>
      </c>
    </row>
    <row collapsed="false" customFormat="false" customHeight="false" hidden="false" ht="12.1" outlineLevel="0" r="1330">
      <c r="A1330" s="35" t="n">
        <v>47103</v>
      </c>
      <c r="B1330" s="16" t="s">
        <v>1375</v>
      </c>
      <c r="C1330" s="16" t="s">
        <v>232</v>
      </c>
      <c r="D1330" s="16" t="s">
        <v>233</v>
      </c>
      <c r="E1330" s="6" t="n">
        <v>1000</v>
      </c>
      <c r="F1330" s="7" t="n">
        <v>2</v>
      </c>
      <c r="G1330" s="6" t="n">
        <v>1.64</v>
      </c>
      <c r="H1330" s="6" t="n">
        <v>0</v>
      </c>
      <c r="I1330" s="6" t="n">
        <v>3.28</v>
      </c>
      <c r="J1330" s="6" t="n">
        <v>3.28</v>
      </c>
    </row>
    <row collapsed="false" customFormat="false" customHeight="false" hidden="false" ht="12.1" outlineLevel="0" r="1331">
      <c r="A1331" s="35" t="n">
        <v>47106</v>
      </c>
      <c r="B1331" s="16" t="s">
        <v>1375</v>
      </c>
      <c r="C1331" s="16" t="s">
        <v>148</v>
      </c>
      <c r="D1331" s="16" t="s">
        <v>149</v>
      </c>
      <c r="E1331" s="6" t="n">
        <v>1000</v>
      </c>
      <c r="F1331" s="7" t="n">
        <v>6</v>
      </c>
      <c r="G1331" s="6" t="n">
        <v>54.85</v>
      </c>
      <c r="H1331" s="6" t="n">
        <v>43</v>
      </c>
      <c r="I1331" s="6" t="n">
        <v>329.1</v>
      </c>
      <c r="J1331" s="6" t="n">
        <v>286.1</v>
      </c>
    </row>
    <row collapsed="false" customFormat="false" customHeight="false" hidden="false" ht="12.1" outlineLevel="0" r="1332">
      <c r="A1332" s="35" t="n">
        <v>47106</v>
      </c>
      <c r="B1332" s="16" t="s">
        <v>1375</v>
      </c>
      <c r="C1332" s="16" t="s">
        <v>145</v>
      </c>
      <c r="D1332" s="16" t="s">
        <v>146</v>
      </c>
      <c r="E1332" s="6" t="n">
        <v>1000</v>
      </c>
      <c r="F1332" s="7" t="n">
        <v>6</v>
      </c>
      <c r="G1332" s="6" t="n">
        <v>59.84</v>
      </c>
      <c r="H1332" s="6" t="n">
        <v>47</v>
      </c>
      <c r="I1332" s="6" t="n">
        <v>359.04</v>
      </c>
      <c r="J1332" s="6" t="n">
        <v>312.04</v>
      </c>
    </row>
    <row collapsed="false" customFormat="false" customHeight="false" hidden="false" ht="12.1" outlineLevel="0" r="1333">
      <c r="A1333" s="35" t="n">
        <v>47112</v>
      </c>
      <c r="B1333" s="16" t="s">
        <v>1375</v>
      </c>
      <c r="C1333" s="16" t="s">
        <v>254</v>
      </c>
      <c r="D1333" s="16" t="s">
        <v>255</v>
      </c>
      <c r="E1333" s="6" t="n">
        <v>1000</v>
      </c>
      <c r="F1333" s="7" t="n">
        <v>1</v>
      </c>
      <c r="G1333" s="6" t="n">
        <v>11.38</v>
      </c>
      <c r="H1333" s="6" t="n">
        <v>1</v>
      </c>
      <c r="I1333" s="6" t="n">
        <v>11.38</v>
      </c>
      <c r="J1333" s="6" t="n">
        <v>10.38</v>
      </c>
    </row>
    <row collapsed="false" customFormat="false" customHeight="false" hidden="false" ht="12.1" outlineLevel="0" r="1334">
      <c r="A1334" s="35" t="n">
        <v>47118</v>
      </c>
      <c r="B1334" s="16" t="s">
        <v>1375</v>
      </c>
      <c r="C1334" s="16" t="s">
        <v>326</v>
      </c>
      <c r="D1334" s="16" t="s">
        <v>327</v>
      </c>
      <c r="E1334" s="6" t="n">
        <v>1000</v>
      </c>
      <c r="F1334" s="7" t="n">
        <v>1</v>
      </c>
      <c r="G1334" s="6" t="n">
        <v>44.88</v>
      </c>
      <c r="H1334" s="6" t="n">
        <v>6</v>
      </c>
      <c r="I1334" s="6" t="n">
        <v>44.88</v>
      </c>
      <c r="J1334" s="6" t="n">
        <v>38.88</v>
      </c>
    </row>
    <row collapsed="false" customFormat="false" customHeight="false" hidden="false" ht="12.1" outlineLevel="0" r="1335">
      <c r="A1335" s="35" t="n">
        <v>47128</v>
      </c>
      <c r="B1335" s="16" t="s">
        <v>1375</v>
      </c>
      <c r="C1335" s="16" t="s">
        <v>178</v>
      </c>
      <c r="D1335" s="16" t="s">
        <v>179</v>
      </c>
      <c r="E1335" s="6" t="n">
        <v>1000</v>
      </c>
      <c r="F1335" s="7" t="n">
        <v>2</v>
      </c>
      <c r="G1335" s="6" t="n">
        <v>43.13</v>
      </c>
      <c r="H1335" s="6" t="n">
        <v>11</v>
      </c>
      <c r="I1335" s="6" t="n">
        <v>86.26</v>
      </c>
      <c r="J1335" s="6" t="n">
        <v>75.26</v>
      </c>
    </row>
    <row collapsed="false" customFormat="false" customHeight="false" hidden="false" ht="12.1" outlineLevel="0" r="1336">
      <c r="A1336" s="35" t="n">
        <v>47133</v>
      </c>
      <c r="B1336" s="16" t="s">
        <v>1375</v>
      </c>
      <c r="C1336" s="16" t="s">
        <v>232</v>
      </c>
      <c r="D1336" s="16" t="s">
        <v>233</v>
      </c>
      <c r="E1336" s="6" t="n">
        <v>1000</v>
      </c>
      <c r="F1336" s="7" t="n">
        <v>2</v>
      </c>
      <c r="G1336" s="6" t="n">
        <v>1.64</v>
      </c>
      <c r="H1336" s="6" t="n">
        <v>0</v>
      </c>
      <c r="I1336" s="6" t="n">
        <v>3.28</v>
      </c>
      <c r="J1336" s="6" t="n">
        <v>3.28</v>
      </c>
    </row>
    <row collapsed="false" customFormat="false" customHeight="false" hidden="false" ht="12.1" outlineLevel="0" r="1337">
      <c r="A1337" s="35" t="n">
        <v>47141</v>
      </c>
      <c r="B1337" s="16" t="s">
        <v>1375</v>
      </c>
      <c r="C1337" s="16" t="s">
        <v>84</v>
      </c>
      <c r="D1337" s="16" t="s">
        <v>86</v>
      </c>
      <c r="E1337" s="6" t="n">
        <v>1000</v>
      </c>
      <c r="F1337" s="7" t="n">
        <v>34</v>
      </c>
      <c r="G1337" s="6" t="n">
        <v>30.42</v>
      </c>
      <c r="H1337" s="6" t="n">
        <v>134</v>
      </c>
      <c r="I1337" s="6" t="n">
        <v>1034.28</v>
      </c>
      <c r="J1337" s="6" t="n">
        <v>900.28</v>
      </c>
    </row>
    <row collapsed="false" customFormat="false" customHeight="false" hidden="false" ht="12.1" outlineLevel="0" r="1338">
      <c r="A1338" s="35" t="n">
        <v>47141</v>
      </c>
      <c r="B1338" s="16" t="s">
        <v>1375</v>
      </c>
      <c r="C1338" s="16" t="s">
        <v>154</v>
      </c>
      <c r="D1338" s="16" t="s">
        <v>155</v>
      </c>
      <c r="E1338" s="6" t="n">
        <v>1000</v>
      </c>
      <c r="F1338" s="7" t="n">
        <v>6</v>
      </c>
      <c r="G1338" s="6" t="n">
        <v>34.41</v>
      </c>
      <c r="H1338" s="6" t="n">
        <v>27</v>
      </c>
      <c r="I1338" s="6" t="n">
        <v>206.46</v>
      </c>
      <c r="J1338" s="6" t="n">
        <v>179.46</v>
      </c>
    </row>
    <row collapsed="false" customFormat="false" customHeight="false" hidden="false" ht="12.1" outlineLevel="0" r="1339">
      <c r="A1339" s="35" t="n">
        <v>47142</v>
      </c>
      <c r="B1339" s="16" t="s">
        <v>1375</v>
      </c>
      <c r="C1339" s="16" t="s">
        <v>254</v>
      </c>
      <c r="D1339" s="16" t="s">
        <v>255</v>
      </c>
      <c r="E1339" s="6" t="n">
        <v>1000</v>
      </c>
      <c r="F1339" s="7" t="n">
        <v>1</v>
      </c>
      <c r="G1339" s="6" t="n">
        <v>11.38</v>
      </c>
      <c r="H1339" s="6" t="n">
        <v>1</v>
      </c>
      <c r="I1339" s="6" t="n">
        <v>11.38</v>
      </c>
      <c r="J1339" s="6" t="n">
        <v>10.38</v>
      </c>
    </row>
    <row collapsed="false" customFormat="false" customHeight="false" hidden="false" ht="12.1" outlineLevel="0" r="1340">
      <c r="A1340" s="35" t="n">
        <v>47155</v>
      </c>
      <c r="B1340" s="16" t="s">
        <v>1375</v>
      </c>
      <c r="C1340" s="16" t="s">
        <v>112</v>
      </c>
      <c r="D1340" s="16" t="s">
        <v>113</v>
      </c>
      <c r="E1340" s="6" t="n">
        <v>1000</v>
      </c>
      <c r="F1340" s="7" t="n">
        <v>19</v>
      </c>
      <c r="G1340" s="6" t="n">
        <v>34.9</v>
      </c>
      <c r="H1340" s="6" t="n">
        <v>86</v>
      </c>
      <c r="I1340" s="6" t="n">
        <v>663.1</v>
      </c>
      <c r="J1340" s="6" t="n">
        <v>577.1</v>
      </c>
    </row>
    <row collapsed="false" customFormat="false" customHeight="false" hidden="false" ht="12.1" outlineLevel="0" r="1341">
      <c r="A1341" s="35" t="n">
        <v>47163</v>
      </c>
      <c r="B1341" s="16" t="s">
        <v>1375</v>
      </c>
      <c r="C1341" s="16" t="s">
        <v>232</v>
      </c>
      <c r="D1341" s="16" t="s">
        <v>233</v>
      </c>
      <c r="E1341" s="6" t="n">
        <v>1000</v>
      </c>
      <c r="F1341" s="7" t="n">
        <v>2</v>
      </c>
      <c r="G1341" s="6" t="n">
        <v>1.64</v>
      </c>
      <c r="H1341" s="6" t="n">
        <v>0</v>
      </c>
      <c r="I1341" s="6" t="n">
        <v>3.28</v>
      </c>
      <c r="J1341" s="6" t="n">
        <v>3.28</v>
      </c>
    </row>
    <row collapsed="false" customFormat="false" customHeight="false" hidden="false" ht="12.1" outlineLevel="0" r="1342">
      <c r="A1342" s="35" t="n">
        <v>47163</v>
      </c>
      <c r="B1342" s="16" t="s">
        <v>1375</v>
      </c>
      <c r="C1342" s="16" t="s">
        <v>187</v>
      </c>
      <c r="D1342" s="16" t="s">
        <v>188</v>
      </c>
      <c r="E1342" s="6" t="n">
        <v>1000</v>
      </c>
      <c r="F1342" s="7" t="n">
        <v>2</v>
      </c>
      <c r="G1342" s="6" t="n">
        <v>39.87</v>
      </c>
      <c r="H1342" s="6" t="n">
        <v>10</v>
      </c>
      <c r="I1342" s="6" t="n">
        <v>79.74</v>
      </c>
      <c r="J1342" s="6" t="n">
        <v>69.74</v>
      </c>
    </row>
    <row collapsed="false" customFormat="false" customHeight="false" hidden="false" ht="12.1" outlineLevel="0" r="1343">
      <c r="A1343" s="35" t="n">
        <v>47172</v>
      </c>
      <c r="B1343" s="16" t="s">
        <v>1375</v>
      </c>
      <c r="C1343" s="16" t="s">
        <v>254</v>
      </c>
      <c r="D1343" s="16" t="s">
        <v>255</v>
      </c>
      <c r="E1343" s="6" t="n">
        <v>1000</v>
      </c>
      <c r="F1343" s="7" t="n">
        <v>1</v>
      </c>
      <c r="G1343" s="6" t="n">
        <v>11.38</v>
      </c>
      <c r="H1343" s="6" t="n">
        <v>1</v>
      </c>
      <c r="I1343" s="6" t="n">
        <v>11.38</v>
      </c>
      <c r="J1343" s="6" t="n">
        <v>10.38</v>
      </c>
    </row>
    <row collapsed="false" customFormat="false" customHeight="false" hidden="false" ht="12.1" outlineLevel="0" r="1344">
      <c r="A1344" s="35" t="n">
        <v>47176</v>
      </c>
      <c r="B1344" s="16" t="s">
        <v>1375</v>
      </c>
      <c r="C1344" s="16" t="s">
        <v>163</v>
      </c>
      <c r="D1344" s="16" t="s">
        <v>164</v>
      </c>
      <c r="E1344" s="6" t="n">
        <v>1000</v>
      </c>
      <c r="F1344" s="7" t="n">
        <v>4</v>
      </c>
      <c r="G1344" s="6" t="n">
        <v>44.88</v>
      </c>
      <c r="H1344" s="6" t="n">
        <v>23</v>
      </c>
      <c r="I1344" s="6" t="n">
        <v>179.52</v>
      </c>
      <c r="J1344" s="6" t="n">
        <v>156.52</v>
      </c>
    </row>
    <row collapsed="false" customFormat="false" customHeight="false" hidden="false" ht="12.1" outlineLevel="0" r="1345">
      <c r="A1345" s="35" t="n">
        <v>47185</v>
      </c>
      <c r="B1345" s="16" t="s">
        <v>1375</v>
      </c>
      <c r="C1345" s="16" t="s">
        <v>229</v>
      </c>
      <c r="D1345" s="16" t="s">
        <v>230</v>
      </c>
      <c r="E1345" s="6" t="n">
        <v>1000</v>
      </c>
      <c r="F1345" s="7" t="n">
        <v>2</v>
      </c>
      <c r="G1345" s="6" t="n">
        <v>17.83</v>
      </c>
      <c r="H1345" s="6" t="n">
        <v>5</v>
      </c>
      <c r="I1345" s="6" t="n">
        <v>35.66</v>
      </c>
      <c r="J1345" s="6" t="n">
        <v>30.66</v>
      </c>
    </row>
    <row collapsed="false" customFormat="false" customHeight="false" hidden="false" ht="12.1" outlineLevel="0" r="1346">
      <c r="A1346" s="35" t="n">
        <v>47190</v>
      </c>
      <c r="B1346" s="16" t="s">
        <v>1375</v>
      </c>
      <c r="C1346" s="16" t="s">
        <v>103</v>
      </c>
      <c r="D1346" s="16" t="s">
        <v>104</v>
      </c>
      <c r="E1346" s="6" t="n">
        <v>1000</v>
      </c>
      <c r="F1346" s="7" t="n">
        <v>17</v>
      </c>
      <c r="G1346" s="6" t="n">
        <v>29.42</v>
      </c>
      <c r="H1346" s="6" t="n">
        <v>65</v>
      </c>
      <c r="I1346" s="6" t="n">
        <v>500.14</v>
      </c>
      <c r="J1346" s="6" t="n">
        <v>435.14</v>
      </c>
    </row>
    <row collapsed="false" customFormat="false" customHeight="false" hidden="false" ht="12.1" outlineLevel="0" r="1347">
      <c r="A1347" s="35" t="n">
        <v>47193</v>
      </c>
      <c r="B1347" s="16" t="s">
        <v>1375</v>
      </c>
      <c r="C1347" s="16" t="s">
        <v>232</v>
      </c>
      <c r="D1347" s="16" t="s">
        <v>233</v>
      </c>
      <c r="E1347" s="6" t="n">
        <v>1000</v>
      </c>
      <c r="F1347" s="7" t="n">
        <v>2</v>
      </c>
      <c r="G1347" s="6" t="n">
        <v>1.64</v>
      </c>
      <c r="H1347" s="6" t="n">
        <v>0</v>
      </c>
      <c r="I1347" s="6" t="n">
        <v>3.28</v>
      </c>
      <c r="J1347" s="6" t="n">
        <v>3.28</v>
      </c>
    </row>
    <row collapsed="false" customFormat="false" customHeight="false" hidden="false" ht="12.1" outlineLevel="0" r="1348">
      <c r="A1348" s="35" t="n">
        <v>47195</v>
      </c>
      <c r="B1348" s="16" t="s">
        <v>1375</v>
      </c>
      <c r="C1348" s="16" t="s">
        <v>220</v>
      </c>
      <c r="D1348" s="16" t="s">
        <v>221</v>
      </c>
      <c r="E1348" s="6" t="n">
        <v>1000</v>
      </c>
      <c r="F1348" s="7" t="n">
        <v>2</v>
      </c>
      <c r="G1348" s="6" t="n">
        <v>45.38</v>
      </c>
      <c r="H1348" s="6" t="n">
        <v>12</v>
      </c>
      <c r="I1348" s="6" t="n">
        <v>90.76</v>
      </c>
      <c r="J1348" s="6" t="n">
        <v>78.76</v>
      </c>
    </row>
    <row collapsed="false" customFormat="false" customHeight="false" hidden="false" ht="12.1" outlineLevel="0" r="1349">
      <c r="A1349" s="35" t="n">
        <v>47197</v>
      </c>
      <c r="B1349" s="16" t="s">
        <v>1375</v>
      </c>
      <c r="C1349" s="16" t="s">
        <v>130</v>
      </c>
      <c r="D1349" s="16" t="s">
        <v>131</v>
      </c>
      <c r="E1349" s="6" t="n">
        <v>1000</v>
      </c>
      <c r="F1349" s="7" t="n">
        <v>11</v>
      </c>
      <c r="G1349" s="6" t="n">
        <v>56.1</v>
      </c>
      <c r="H1349" s="6" t="n">
        <v>80</v>
      </c>
      <c r="I1349" s="6" t="n">
        <v>617.1</v>
      </c>
      <c r="J1349" s="6" t="n">
        <v>537.1</v>
      </c>
    </row>
    <row collapsed="false" customFormat="false" customHeight="false" hidden="false" ht="12.1" outlineLevel="0" r="1350">
      <c r="A1350" s="35" t="n">
        <v>47197</v>
      </c>
      <c r="B1350" s="16" t="s">
        <v>1375</v>
      </c>
      <c r="C1350" s="16" t="s">
        <v>97</v>
      </c>
      <c r="D1350" s="16" t="s">
        <v>98</v>
      </c>
      <c r="E1350" s="6" t="n">
        <v>1000</v>
      </c>
      <c r="F1350" s="7" t="n">
        <v>14</v>
      </c>
      <c r="G1350" s="6" t="n">
        <v>59.84</v>
      </c>
      <c r="H1350" s="6" t="n">
        <v>109</v>
      </c>
      <c r="I1350" s="6" t="n">
        <v>837.76</v>
      </c>
      <c r="J1350" s="6" t="n">
        <v>728.76</v>
      </c>
    </row>
    <row collapsed="false" customFormat="false" customHeight="false" hidden="false" ht="12.1" outlineLevel="0" r="1351">
      <c r="A1351" s="35" t="n">
        <v>47197</v>
      </c>
      <c r="B1351" s="16" t="s">
        <v>1375</v>
      </c>
      <c r="C1351" s="16" t="s">
        <v>157</v>
      </c>
      <c r="D1351" s="16" t="s">
        <v>158</v>
      </c>
      <c r="E1351" s="6" t="n">
        <v>1448.61</v>
      </c>
      <c r="F1351" s="7" t="n">
        <v>4</v>
      </c>
      <c r="G1351" s="6" t="n">
        <v>18.13</v>
      </c>
      <c r="H1351" s="6" t="n">
        <v>9</v>
      </c>
      <c r="I1351" s="6" t="n">
        <v>72.52</v>
      </c>
      <c r="J1351" s="6" t="n">
        <v>63.52</v>
      </c>
    </row>
    <row collapsed="false" customFormat="false" customHeight="false" hidden="false" ht="12.1" outlineLevel="0" r="1352">
      <c r="A1352" s="35" t="n">
        <v>47197</v>
      </c>
      <c r="B1352" s="16" t="s">
        <v>1375</v>
      </c>
      <c r="C1352" s="16" t="s">
        <v>133</v>
      </c>
      <c r="D1352" s="16" t="s">
        <v>134</v>
      </c>
      <c r="E1352" s="6" t="n">
        <v>1000</v>
      </c>
      <c r="F1352" s="7" t="n">
        <v>12</v>
      </c>
      <c r="G1352" s="6" t="n">
        <v>42.38</v>
      </c>
      <c r="H1352" s="6" t="n">
        <v>66</v>
      </c>
      <c r="I1352" s="6" t="n">
        <v>508.56</v>
      </c>
      <c r="J1352" s="6" t="n">
        <v>442.56</v>
      </c>
    </row>
    <row collapsed="false" customFormat="false" customHeight="false" hidden="false" ht="12.1" outlineLevel="0" r="1353">
      <c r="A1353" s="35" t="n">
        <v>47202</v>
      </c>
      <c r="B1353" s="16" t="s">
        <v>1375</v>
      </c>
      <c r="C1353" s="16" t="s">
        <v>254</v>
      </c>
      <c r="D1353" s="16" t="s">
        <v>255</v>
      </c>
      <c r="E1353" s="6" t="n">
        <v>1000</v>
      </c>
      <c r="F1353" s="7" t="n">
        <v>1</v>
      </c>
      <c r="G1353" s="6" t="n">
        <v>11.38</v>
      </c>
      <c r="H1353" s="6" t="n">
        <v>1</v>
      </c>
      <c r="I1353" s="6" t="n">
        <v>11.38</v>
      </c>
      <c r="J1353" s="6" t="n">
        <v>10.38</v>
      </c>
    </row>
    <row collapsed="false" customFormat="false" customHeight="false" hidden="false" ht="12.1" outlineLevel="0" r="1354">
      <c r="A1354" s="35" t="n">
        <v>47204</v>
      </c>
      <c r="B1354" s="16" t="s">
        <v>1375</v>
      </c>
      <c r="C1354" s="16" t="s">
        <v>106</v>
      </c>
      <c r="D1354" s="16" t="s">
        <v>107</v>
      </c>
      <c r="E1354" s="6" t="n">
        <v>1000</v>
      </c>
      <c r="F1354" s="7" t="n">
        <v>18</v>
      </c>
      <c r="G1354" s="6" t="n">
        <v>38.39</v>
      </c>
      <c r="H1354" s="6" t="n">
        <v>90</v>
      </c>
      <c r="I1354" s="6" t="n">
        <v>691.02</v>
      </c>
      <c r="J1354" s="6" t="n">
        <v>601.02</v>
      </c>
    </row>
    <row collapsed="false" customFormat="false" customHeight="false" hidden="false" ht="12.1" outlineLevel="0" r="1355">
      <c r="A1355" s="35" t="n">
        <v>47204</v>
      </c>
      <c r="B1355" s="16" t="s">
        <v>1375</v>
      </c>
      <c r="C1355" s="16" t="s">
        <v>127</v>
      </c>
      <c r="D1355" s="16" t="s">
        <v>128</v>
      </c>
      <c r="E1355" s="6" t="n">
        <v>1000</v>
      </c>
      <c r="F1355" s="7" t="n">
        <v>14</v>
      </c>
      <c r="G1355" s="6" t="n">
        <v>38.39</v>
      </c>
      <c r="H1355" s="6" t="n">
        <v>70</v>
      </c>
      <c r="I1355" s="6" t="n">
        <v>537.46</v>
      </c>
      <c r="J1355" s="6" t="n">
        <v>467.46</v>
      </c>
    </row>
    <row collapsed="false" customFormat="false" customHeight="false" hidden="false" ht="12.1" outlineLevel="0" r="1356">
      <c r="A1356" s="35" t="n">
        <v>47211</v>
      </c>
      <c r="B1356" s="16" t="s">
        <v>1375</v>
      </c>
      <c r="C1356" s="16" t="s">
        <v>121</v>
      </c>
      <c r="D1356" s="16" t="s">
        <v>122</v>
      </c>
      <c r="E1356" s="6" t="n">
        <v>1000</v>
      </c>
      <c r="F1356" s="7" t="n">
        <v>12</v>
      </c>
      <c r="G1356" s="6" t="n">
        <v>59.84</v>
      </c>
      <c r="H1356" s="6" t="n">
        <v>93</v>
      </c>
      <c r="I1356" s="6" t="n">
        <v>718.08</v>
      </c>
      <c r="J1356" s="6" t="n">
        <v>625.08</v>
      </c>
    </row>
    <row collapsed="false" customFormat="false" customHeight="false" hidden="false" ht="12.1" outlineLevel="0" r="1357">
      <c r="A1357" s="35" t="n">
        <v>47211</v>
      </c>
      <c r="B1357" s="16" t="s">
        <v>1375</v>
      </c>
      <c r="C1357" s="16" t="s">
        <v>142</v>
      </c>
      <c r="D1357" s="16" t="s">
        <v>143</v>
      </c>
      <c r="E1357" s="6" t="n">
        <v>1000</v>
      </c>
      <c r="F1357" s="7" t="n">
        <v>5</v>
      </c>
      <c r="G1357" s="6" t="n">
        <v>102.92</v>
      </c>
      <c r="H1357" s="6" t="n">
        <v>67</v>
      </c>
      <c r="I1357" s="6" t="n">
        <v>514.6</v>
      </c>
      <c r="J1357" s="6" t="n">
        <v>447.6</v>
      </c>
    </row>
    <row collapsed="false" customFormat="false" customHeight="false" hidden="false" ht="12.1" outlineLevel="0" r="1358">
      <c r="A1358" s="35" t="n">
        <v>47218</v>
      </c>
      <c r="B1358" s="16" t="s">
        <v>1375</v>
      </c>
      <c r="C1358" s="16" t="s">
        <v>124</v>
      </c>
      <c r="D1358" s="16" t="s">
        <v>125</v>
      </c>
      <c r="E1358" s="6" t="n">
        <v>1000</v>
      </c>
      <c r="F1358" s="7" t="n">
        <v>13</v>
      </c>
      <c r="G1358" s="6" t="n">
        <v>38.15</v>
      </c>
      <c r="H1358" s="6" t="n">
        <v>64</v>
      </c>
      <c r="I1358" s="6" t="n">
        <v>495.95</v>
      </c>
      <c r="J1358" s="6" t="n">
        <v>431.95</v>
      </c>
    </row>
    <row collapsed="false" customFormat="false" customHeight="false" hidden="false" ht="12.1" outlineLevel="0" r="1359">
      <c r="A1359" s="35" t="n">
        <v>47219</v>
      </c>
      <c r="B1359" s="16" t="s">
        <v>1375</v>
      </c>
      <c r="C1359" s="16" t="s">
        <v>178</v>
      </c>
      <c r="D1359" s="16" t="s">
        <v>179</v>
      </c>
      <c r="E1359" s="6" t="n">
        <v>1000</v>
      </c>
      <c r="F1359" s="7" t="n">
        <v>2</v>
      </c>
      <c r="G1359" s="6" t="n">
        <v>43.13</v>
      </c>
      <c r="H1359" s="6" t="n">
        <v>11</v>
      </c>
      <c r="I1359" s="6" t="n">
        <v>86.26</v>
      </c>
      <c r="J1359" s="6" t="n">
        <v>75.26</v>
      </c>
    </row>
    <row collapsed="false" customFormat="false" customHeight="false" hidden="false" ht="12.1" outlineLevel="0" r="1360">
      <c r="A1360" s="35" t="n">
        <v>47223</v>
      </c>
      <c r="B1360" s="16" t="s">
        <v>1375</v>
      </c>
      <c r="C1360" s="16" t="s">
        <v>232</v>
      </c>
      <c r="D1360" s="16" t="s">
        <v>233</v>
      </c>
      <c r="E1360" s="6" t="n">
        <v>1000</v>
      </c>
      <c r="F1360" s="7" t="n">
        <v>2</v>
      </c>
      <c r="G1360" s="6" t="n">
        <v>1.64</v>
      </c>
      <c r="H1360" s="6" t="n">
        <v>0</v>
      </c>
      <c r="I1360" s="6" t="n">
        <v>3.28</v>
      </c>
      <c r="J1360" s="6" t="n">
        <v>3.28</v>
      </c>
    </row>
    <row collapsed="false" customFormat="false" customHeight="false" hidden="false" ht="12.1" outlineLevel="0" r="1361">
      <c r="A1361" s="35" t="n">
        <v>47225</v>
      </c>
      <c r="B1361" s="16" t="s">
        <v>1375</v>
      </c>
      <c r="C1361" s="16" t="s">
        <v>208</v>
      </c>
      <c r="D1361" s="16" t="s">
        <v>209</v>
      </c>
      <c r="E1361" s="6" t="n">
        <v>1000</v>
      </c>
      <c r="F1361" s="7" t="n">
        <v>2</v>
      </c>
      <c r="G1361" s="6" t="n">
        <v>64.82</v>
      </c>
      <c r="H1361" s="6" t="n">
        <v>17</v>
      </c>
      <c r="I1361" s="6" t="n">
        <v>129.64</v>
      </c>
      <c r="J1361" s="6" t="n">
        <v>112.64</v>
      </c>
    </row>
    <row collapsed="false" customFormat="false" customHeight="false" hidden="false" ht="12.1" outlineLevel="0" r="1362">
      <c r="A1362" s="35" t="n">
        <v>47225</v>
      </c>
      <c r="B1362" s="16" t="s">
        <v>1375</v>
      </c>
      <c r="C1362" s="16" t="s">
        <v>205</v>
      </c>
      <c r="D1362" s="16" t="s">
        <v>206</v>
      </c>
      <c r="E1362" s="6" t="n">
        <v>1000</v>
      </c>
      <c r="F1362" s="7" t="n">
        <v>2</v>
      </c>
      <c r="G1362" s="6" t="n">
        <v>64.82</v>
      </c>
      <c r="H1362" s="6" t="n">
        <v>17</v>
      </c>
      <c r="I1362" s="6" t="n">
        <v>129.64</v>
      </c>
      <c r="J1362" s="6" t="n">
        <v>112.64</v>
      </c>
    </row>
    <row collapsed="false" customFormat="false" customHeight="false" hidden="false" ht="12.1" outlineLevel="0" r="1363">
      <c r="A1363" s="35" t="n">
        <v>47225</v>
      </c>
      <c r="B1363" s="16" t="s">
        <v>1375</v>
      </c>
      <c r="C1363" s="16" t="s">
        <v>169</v>
      </c>
      <c r="D1363" s="16" t="s">
        <v>170</v>
      </c>
      <c r="E1363" s="6" t="n">
        <v>1000</v>
      </c>
      <c r="F1363" s="7" t="n">
        <v>3</v>
      </c>
      <c r="G1363" s="6" t="n">
        <v>62.33</v>
      </c>
      <c r="H1363" s="6" t="n">
        <v>24</v>
      </c>
      <c r="I1363" s="6" t="n">
        <v>186.99</v>
      </c>
      <c r="J1363" s="6" t="n">
        <v>162.99</v>
      </c>
    </row>
    <row collapsed="false" customFormat="false" customHeight="false" hidden="false" ht="12.1" outlineLevel="0" r="1364">
      <c r="A1364" s="35" t="n">
        <v>47232</v>
      </c>
      <c r="B1364" s="16" t="s">
        <v>1375</v>
      </c>
      <c r="C1364" s="16" t="s">
        <v>254</v>
      </c>
      <c r="D1364" s="16" t="s">
        <v>255</v>
      </c>
      <c r="E1364" s="6" t="n">
        <v>1000</v>
      </c>
      <c r="F1364" s="7" t="n">
        <v>1</v>
      </c>
      <c r="G1364" s="6" t="n">
        <v>11.38</v>
      </c>
      <c r="H1364" s="6" t="n">
        <v>1</v>
      </c>
      <c r="I1364" s="6" t="n">
        <v>11.38</v>
      </c>
      <c r="J1364" s="6" t="n">
        <v>10.38</v>
      </c>
    </row>
    <row collapsed="false" customFormat="false" customHeight="false" hidden="false" ht="12.1" outlineLevel="0" r="1365">
      <c r="A1365" s="35" t="n">
        <v>47241</v>
      </c>
      <c r="B1365" s="16" t="s">
        <v>1375</v>
      </c>
      <c r="C1365" s="16" t="s">
        <v>223</v>
      </c>
      <c r="D1365" s="16" t="s">
        <v>224</v>
      </c>
      <c r="E1365" s="6" t="n">
        <v>1000</v>
      </c>
      <c r="F1365" s="7" t="n">
        <v>2</v>
      </c>
      <c r="G1365" s="6" t="n">
        <v>45.38</v>
      </c>
      <c r="H1365" s="6" t="n">
        <v>12</v>
      </c>
      <c r="I1365" s="6" t="n">
        <v>90.76</v>
      </c>
      <c r="J1365" s="6" t="n">
        <v>78.76</v>
      </c>
    </row>
    <row collapsed="false" customFormat="false" customHeight="false" hidden="false" ht="12.1" outlineLevel="0" r="1366">
      <c r="A1366" s="35" t="n">
        <v>47246</v>
      </c>
      <c r="B1366" s="16" t="s">
        <v>1375</v>
      </c>
      <c r="C1366" s="16" t="s">
        <v>109</v>
      </c>
      <c r="D1366" s="16" t="s">
        <v>110</v>
      </c>
      <c r="E1366" s="6" t="n">
        <v>1000</v>
      </c>
      <c r="F1366" s="7" t="n">
        <v>11</v>
      </c>
      <c r="G1366" s="6" t="n">
        <v>99.18</v>
      </c>
      <c r="H1366" s="6" t="n">
        <v>142</v>
      </c>
      <c r="I1366" s="6" t="n">
        <v>1090.98</v>
      </c>
      <c r="J1366" s="6" t="n">
        <v>948.98</v>
      </c>
    </row>
    <row collapsed="false" customFormat="false" customHeight="false" hidden="false" ht="12.1" outlineLevel="0" r="1367">
      <c r="A1367" s="35" t="n">
        <v>47253</v>
      </c>
      <c r="B1367" s="16" t="s">
        <v>1375</v>
      </c>
      <c r="C1367" s="16" t="s">
        <v>232</v>
      </c>
      <c r="D1367" s="16" t="s">
        <v>233</v>
      </c>
      <c r="E1367" s="6" t="n">
        <v>1000</v>
      </c>
      <c r="F1367" s="7" t="n">
        <v>2</v>
      </c>
      <c r="G1367" s="6" t="n">
        <v>1.64</v>
      </c>
      <c r="H1367" s="6" t="n">
        <v>0</v>
      </c>
      <c r="I1367" s="6" t="n">
        <v>3.28</v>
      </c>
      <c r="J1367" s="6" t="n">
        <v>3.28</v>
      </c>
    </row>
    <row collapsed="false" customFormat="false" customHeight="false" hidden="false" ht="12.1" outlineLevel="0" r="1368">
      <c r="A1368" s="35" t="n">
        <v>47253</v>
      </c>
      <c r="B1368" s="16" t="s">
        <v>1375</v>
      </c>
      <c r="C1368" s="16" t="s">
        <v>139</v>
      </c>
      <c r="D1368" s="16" t="s">
        <v>140</v>
      </c>
      <c r="E1368" s="6" t="n">
        <v>1242.73</v>
      </c>
      <c r="F1368" s="7" t="n">
        <v>6</v>
      </c>
      <c r="G1368" s="6" t="n">
        <v>15.55</v>
      </c>
      <c r="H1368" s="6" t="n">
        <v>12</v>
      </c>
      <c r="I1368" s="6" t="n">
        <v>93.3</v>
      </c>
      <c r="J1368" s="6" t="n">
        <v>81.3</v>
      </c>
    </row>
    <row collapsed="false" customFormat="false" customHeight="false" hidden="false" ht="12.1" outlineLevel="0" r="1369">
      <c r="A1369" s="35" t="n">
        <v>47253</v>
      </c>
      <c r="B1369" s="16" t="s">
        <v>1375</v>
      </c>
      <c r="C1369" s="16" t="s">
        <v>136</v>
      </c>
      <c r="D1369" s="16" t="s">
        <v>137</v>
      </c>
      <c r="E1369" s="6" t="n">
        <v>1000</v>
      </c>
      <c r="F1369" s="7" t="n">
        <v>14</v>
      </c>
      <c r="G1369" s="6" t="n">
        <v>36.15</v>
      </c>
      <c r="H1369" s="6" t="n">
        <v>66</v>
      </c>
      <c r="I1369" s="6" t="n">
        <v>506.1</v>
      </c>
      <c r="J1369" s="6" t="n">
        <v>440.1</v>
      </c>
    </row>
    <row collapsed="false" customFormat="false" customHeight="false" hidden="false" ht="12.1" outlineLevel="0" r="1370">
      <c r="A1370" s="35" t="n">
        <v>47254</v>
      </c>
      <c r="B1370" s="16" t="s">
        <v>1375</v>
      </c>
      <c r="C1370" s="16" t="s">
        <v>187</v>
      </c>
      <c r="D1370" s="16" t="s">
        <v>188</v>
      </c>
      <c r="E1370" s="6" t="n">
        <v>1000</v>
      </c>
      <c r="F1370" s="7" t="n">
        <v>2</v>
      </c>
      <c r="G1370" s="6" t="n">
        <v>39.87</v>
      </c>
      <c r="H1370" s="6" t="n">
        <v>10</v>
      </c>
      <c r="I1370" s="6" t="n">
        <v>79.74</v>
      </c>
      <c r="J1370" s="6" t="n">
        <v>69.74</v>
      </c>
    </row>
    <row collapsed="false" customFormat="false" customHeight="false" hidden="false" ht="12.1" outlineLevel="0" r="1371">
      <c r="A1371" s="35" t="n">
        <v>47260</v>
      </c>
      <c r="B1371" s="16" t="s">
        <v>1375</v>
      </c>
      <c r="C1371" s="16" t="s">
        <v>118</v>
      </c>
      <c r="D1371" s="16" t="s">
        <v>119</v>
      </c>
      <c r="E1371" s="6" t="n">
        <v>1000</v>
      </c>
      <c r="F1371" s="7" t="n">
        <v>14</v>
      </c>
      <c r="G1371" s="6" t="n">
        <v>47.37</v>
      </c>
      <c r="H1371" s="6" t="n">
        <v>86</v>
      </c>
      <c r="I1371" s="6" t="n">
        <v>663.18</v>
      </c>
      <c r="J1371" s="6" t="n">
        <v>577.18</v>
      </c>
    </row>
    <row collapsed="false" customFormat="false" customHeight="false" hidden="false" ht="12.1" outlineLevel="0" r="1372">
      <c r="A1372" s="35" t="n">
        <v>47260</v>
      </c>
      <c r="B1372" s="16" t="s">
        <v>1375</v>
      </c>
      <c r="C1372" s="16" t="s">
        <v>115</v>
      </c>
      <c r="D1372" s="16" t="s">
        <v>116</v>
      </c>
      <c r="E1372" s="6" t="n">
        <v>1000</v>
      </c>
      <c r="F1372" s="7" t="n">
        <v>13</v>
      </c>
      <c r="G1372" s="6" t="n">
        <v>61.08</v>
      </c>
      <c r="H1372" s="6" t="n">
        <v>103</v>
      </c>
      <c r="I1372" s="6" t="n">
        <v>794.04</v>
      </c>
      <c r="J1372" s="6" t="n">
        <v>691.04</v>
      </c>
    </row>
    <row collapsed="false" customFormat="false" customHeight="false" hidden="false" ht="12.1" outlineLevel="0" r="1373">
      <c r="A1373" s="35" t="n">
        <v>47262</v>
      </c>
      <c r="B1373" s="16" t="s">
        <v>1375</v>
      </c>
      <c r="C1373" s="16" t="s">
        <v>254</v>
      </c>
      <c r="D1373" s="16" t="s">
        <v>255</v>
      </c>
      <c r="E1373" s="6" t="n">
        <v>1000</v>
      </c>
      <c r="F1373" s="7" t="n">
        <v>1</v>
      </c>
      <c r="G1373" s="6" t="n">
        <v>11.38</v>
      </c>
      <c r="H1373" s="6" t="n">
        <v>1</v>
      </c>
      <c r="I1373" s="6" t="n">
        <v>11.38</v>
      </c>
      <c r="J1373" s="6" t="n">
        <v>10.38</v>
      </c>
    </row>
    <row collapsed="false" customFormat="false" customHeight="false" hidden="false" ht="12.1" outlineLevel="0" r="1374">
      <c r="A1374" s="35" t="n">
        <v>47267</v>
      </c>
      <c r="B1374" s="16" t="s">
        <v>1375</v>
      </c>
      <c r="C1374" s="16" t="s">
        <v>94</v>
      </c>
      <c r="D1374" s="16" t="s">
        <v>95</v>
      </c>
      <c r="E1374" s="6" t="n">
        <v>1000</v>
      </c>
      <c r="F1374" s="7" t="n">
        <v>23</v>
      </c>
      <c r="G1374" s="6" t="n">
        <v>35.4</v>
      </c>
      <c r="H1374" s="6" t="n">
        <v>106</v>
      </c>
      <c r="I1374" s="6" t="n">
        <v>814.2</v>
      </c>
      <c r="J1374" s="6" t="n">
        <v>708.2</v>
      </c>
    </row>
    <row collapsed="false" customFormat="false" customHeight="false" hidden="false" ht="12.1" outlineLevel="0" r="1375">
      <c r="A1375" s="35" t="n">
        <v>47267</v>
      </c>
      <c r="B1375" s="16" t="s">
        <v>1375</v>
      </c>
      <c r="C1375" s="16" t="s">
        <v>91</v>
      </c>
      <c r="D1375" s="16" t="s">
        <v>92</v>
      </c>
      <c r="E1375" s="6" t="n">
        <v>1000</v>
      </c>
      <c r="F1375" s="7" t="n">
        <v>19</v>
      </c>
      <c r="G1375" s="6" t="n">
        <v>48.87</v>
      </c>
      <c r="H1375" s="6" t="n">
        <v>121</v>
      </c>
      <c r="I1375" s="6" t="n">
        <v>928.53</v>
      </c>
      <c r="J1375" s="6" t="n">
        <v>807.53</v>
      </c>
    </row>
    <row collapsed="false" customFormat="false" customHeight="false" hidden="false" ht="12.1" outlineLevel="0" r="1376">
      <c r="A1376" s="35" t="n">
        <v>47267</v>
      </c>
      <c r="B1376" s="16" t="s">
        <v>1375</v>
      </c>
      <c r="C1376" s="16" t="s">
        <v>100</v>
      </c>
      <c r="D1376" s="16" t="s">
        <v>101</v>
      </c>
      <c r="E1376" s="6" t="n">
        <v>1000</v>
      </c>
      <c r="F1376" s="7" t="n">
        <v>14</v>
      </c>
      <c r="G1376" s="6" t="n">
        <v>61.08</v>
      </c>
      <c r="H1376" s="6" t="n">
        <v>111</v>
      </c>
      <c r="I1376" s="6" t="n">
        <v>855.12</v>
      </c>
      <c r="J1376" s="6" t="n">
        <v>744.12</v>
      </c>
    </row>
    <row collapsed="false" customFormat="false" customHeight="false" hidden="false" ht="12.1" outlineLevel="0" r="1377">
      <c r="A1377" s="35" t="n">
        <v>47276</v>
      </c>
      <c r="B1377" s="16" t="s">
        <v>1375</v>
      </c>
      <c r="C1377" s="16" t="s">
        <v>229</v>
      </c>
      <c r="D1377" s="16" t="s">
        <v>230</v>
      </c>
      <c r="E1377" s="6" t="n">
        <v>1000</v>
      </c>
      <c r="F1377" s="7" t="n">
        <v>2</v>
      </c>
      <c r="G1377" s="6" t="n">
        <v>17.83</v>
      </c>
      <c r="H1377" s="6" t="n">
        <v>5</v>
      </c>
      <c r="I1377" s="6" t="n">
        <v>35.66</v>
      </c>
      <c r="J1377" s="6" t="n">
        <v>30.66</v>
      </c>
    </row>
    <row collapsed="false" customFormat="false" customHeight="false" hidden="false" ht="12.1" outlineLevel="0" r="1378">
      <c r="A1378" s="35" t="n">
        <v>47281</v>
      </c>
      <c r="B1378" s="16" t="s">
        <v>1375</v>
      </c>
      <c r="C1378" s="16" t="s">
        <v>88</v>
      </c>
      <c r="D1378" s="16" t="s">
        <v>89</v>
      </c>
      <c r="E1378" s="6" t="n">
        <v>1000</v>
      </c>
      <c r="F1378" s="7" t="n">
        <v>14</v>
      </c>
      <c r="G1378" s="6" t="n">
        <v>95.44</v>
      </c>
      <c r="H1378" s="6" t="n">
        <v>174</v>
      </c>
      <c r="I1378" s="6" t="n">
        <v>1336.16</v>
      </c>
      <c r="J1378" s="6" t="n">
        <v>1162.16</v>
      </c>
    </row>
    <row collapsed="false" customFormat="false" customHeight="false" hidden="false" ht="12.1" outlineLevel="0" r="1379">
      <c r="A1379" s="35" t="n">
        <v>47283</v>
      </c>
      <c r="B1379" s="16" t="s">
        <v>1375</v>
      </c>
      <c r="C1379" s="16" t="s">
        <v>232</v>
      </c>
      <c r="D1379" s="16" t="s">
        <v>233</v>
      </c>
      <c r="E1379" s="6" t="n">
        <v>1000</v>
      </c>
      <c r="F1379" s="7" t="n">
        <v>2</v>
      </c>
      <c r="G1379" s="6" t="n">
        <v>1.64</v>
      </c>
      <c r="H1379" s="6" t="n">
        <v>0</v>
      </c>
      <c r="I1379" s="6" t="n">
        <v>3.28</v>
      </c>
      <c r="J1379" s="6" t="n">
        <v>3.28</v>
      </c>
    </row>
    <row collapsed="false" customFormat="false" customHeight="false" hidden="false" ht="12.1" outlineLevel="0" r="1380">
      <c r="A1380" s="35" t="n">
        <v>47288</v>
      </c>
      <c r="B1380" s="16" t="s">
        <v>1375</v>
      </c>
      <c r="C1380" s="16" t="s">
        <v>148</v>
      </c>
      <c r="D1380" s="16" t="s">
        <v>149</v>
      </c>
      <c r="E1380" s="6" t="n">
        <v>1000</v>
      </c>
      <c r="F1380" s="7" t="n">
        <v>6</v>
      </c>
      <c r="G1380" s="6" t="n">
        <v>54.85</v>
      </c>
      <c r="H1380" s="6" t="n">
        <v>43</v>
      </c>
      <c r="I1380" s="6" t="n">
        <v>329.1</v>
      </c>
      <c r="J1380" s="6" t="n">
        <v>286.1</v>
      </c>
    </row>
    <row collapsed="false" customFormat="false" customHeight="false" hidden="false" ht="12.1" outlineLevel="0" r="1381">
      <c r="A1381" s="35" t="n">
        <v>47288</v>
      </c>
      <c r="B1381" s="16" t="s">
        <v>1375</v>
      </c>
      <c r="C1381" s="16" t="s">
        <v>145</v>
      </c>
      <c r="D1381" s="16" t="s">
        <v>146</v>
      </c>
      <c r="E1381" s="6" t="n">
        <v>1000</v>
      </c>
      <c r="F1381" s="7" t="n">
        <v>6</v>
      </c>
      <c r="G1381" s="6" t="n">
        <v>59.84</v>
      </c>
      <c r="H1381" s="6" t="n">
        <v>47</v>
      </c>
      <c r="I1381" s="6" t="n">
        <v>359.04</v>
      </c>
      <c r="J1381" s="6" t="n">
        <v>312.04</v>
      </c>
    </row>
    <row collapsed="false" customFormat="false" customHeight="false" hidden="false" ht="12.1" outlineLevel="0" r="1382">
      <c r="A1382" s="35" t="n">
        <v>47292</v>
      </c>
      <c r="B1382" s="16" t="s">
        <v>1375</v>
      </c>
      <c r="C1382" s="16" t="s">
        <v>254</v>
      </c>
      <c r="D1382" s="16" t="s">
        <v>255</v>
      </c>
      <c r="E1382" s="6" t="n">
        <v>1000</v>
      </c>
      <c r="F1382" s="7" t="n">
        <v>1</v>
      </c>
      <c r="G1382" s="6" t="n">
        <v>11.38</v>
      </c>
      <c r="H1382" s="6" t="n">
        <v>1</v>
      </c>
      <c r="I1382" s="6" t="n">
        <v>11.38</v>
      </c>
      <c r="J1382" s="6" t="n">
        <v>10.38</v>
      </c>
    </row>
    <row collapsed="false" customFormat="false" customHeight="false" hidden="false" ht="12.1" outlineLevel="0" r="1383">
      <c r="A1383" s="35" t="n">
        <v>47300</v>
      </c>
      <c r="B1383" s="16" t="s">
        <v>1375</v>
      </c>
      <c r="C1383" s="16" t="s">
        <v>326</v>
      </c>
      <c r="D1383" s="16" t="s">
        <v>327</v>
      </c>
      <c r="E1383" s="6" t="n">
        <v>1000</v>
      </c>
      <c r="F1383" s="7" t="n">
        <v>1</v>
      </c>
      <c r="G1383" s="6" t="n">
        <v>44.88</v>
      </c>
      <c r="H1383" s="6" t="n">
        <v>6</v>
      </c>
      <c r="I1383" s="6" t="n">
        <v>44.88</v>
      </c>
      <c r="J1383" s="6" t="n">
        <v>38.88</v>
      </c>
    </row>
    <row collapsed="false" customFormat="false" customHeight="false" hidden="false" ht="12.1" outlineLevel="0" r="1384">
      <c r="A1384" s="35" t="n">
        <v>47310</v>
      </c>
      <c r="B1384" s="16" t="s">
        <v>1375</v>
      </c>
      <c r="C1384" s="16" t="s">
        <v>178</v>
      </c>
      <c r="D1384" s="16" t="s">
        <v>179</v>
      </c>
      <c r="E1384" s="6" t="n">
        <v>1000</v>
      </c>
      <c r="F1384" s="7" t="n">
        <v>2</v>
      </c>
      <c r="G1384" s="6" t="n">
        <v>43.13</v>
      </c>
      <c r="H1384" s="6" t="n">
        <v>11</v>
      </c>
      <c r="I1384" s="6" t="n">
        <v>86.26</v>
      </c>
      <c r="J1384" s="6" t="n">
        <v>75.26</v>
      </c>
    </row>
    <row collapsed="false" customFormat="false" customHeight="false" hidden="false" ht="12.1" outlineLevel="0" r="1385">
      <c r="A1385" s="35" t="n">
        <v>47313</v>
      </c>
      <c r="B1385" s="16" t="s">
        <v>1375</v>
      </c>
      <c r="C1385" s="16" t="s">
        <v>232</v>
      </c>
      <c r="D1385" s="16" t="s">
        <v>233</v>
      </c>
      <c r="E1385" s="6" t="n">
        <v>1000</v>
      </c>
      <c r="F1385" s="7" t="n">
        <v>2</v>
      </c>
      <c r="G1385" s="6" t="n">
        <v>1.64</v>
      </c>
      <c r="H1385" s="6" t="n">
        <v>0</v>
      </c>
      <c r="I1385" s="6" t="n">
        <v>3.28</v>
      </c>
      <c r="J1385" s="6" t="n">
        <v>3.28</v>
      </c>
    </row>
    <row collapsed="false" customFormat="false" customHeight="false" hidden="false" ht="12.1" outlineLevel="0" r="1386">
      <c r="A1386" s="35" t="n">
        <v>47323</v>
      </c>
      <c r="B1386" s="16" t="s">
        <v>1375</v>
      </c>
      <c r="C1386" s="16" t="s">
        <v>154</v>
      </c>
      <c r="D1386" s="16" t="s">
        <v>155</v>
      </c>
      <c r="E1386" s="6" t="n">
        <v>1000</v>
      </c>
      <c r="F1386" s="7" t="n">
        <v>6</v>
      </c>
      <c r="G1386" s="6" t="n">
        <v>34.41</v>
      </c>
      <c r="H1386" s="6" t="n">
        <v>27</v>
      </c>
      <c r="I1386" s="6" t="n">
        <v>206.46</v>
      </c>
      <c r="J1386" s="6" t="n">
        <v>179.46</v>
      </c>
    </row>
    <row collapsed="false" customFormat="false" customHeight="false" hidden="false" ht="12.1" outlineLevel="0" r="1387">
      <c r="A1387" s="35" t="n">
        <v>47323</v>
      </c>
      <c r="B1387" s="16" t="s">
        <v>1375</v>
      </c>
      <c r="C1387" s="16" t="s">
        <v>84</v>
      </c>
      <c r="D1387" s="16" t="s">
        <v>86</v>
      </c>
      <c r="E1387" s="6" t="n">
        <v>1000</v>
      </c>
      <c r="F1387" s="7" t="n">
        <v>34</v>
      </c>
      <c r="G1387" s="6" t="n">
        <v>30.42</v>
      </c>
      <c r="H1387" s="6" t="n">
        <v>134</v>
      </c>
      <c r="I1387" s="6" t="n">
        <v>1034.28</v>
      </c>
      <c r="J1387" s="6" t="n">
        <v>900.28</v>
      </c>
    </row>
    <row collapsed="false" customFormat="false" customHeight="false" hidden="false" ht="12.1" outlineLevel="0" r="1388">
      <c r="A1388" s="35" t="n">
        <v>47337</v>
      </c>
      <c r="B1388" s="16" t="s">
        <v>1375</v>
      </c>
      <c r="C1388" s="16" t="s">
        <v>112</v>
      </c>
      <c r="D1388" s="16" t="s">
        <v>113</v>
      </c>
      <c r="E1388" s="6" t="n">
        <v>1000</v>
      </c>
      <c r="F1388" s="7" t="n">
        <v>19</v>
      </c>
      <c r="G1388" s="6" t="n">
        <v>34.9</v>
      </c>
      <c r="H1388" s="6" t="n">
        <v>86</v>
      </c>
      <c r="I1388" s="6" t="n">
        <v>663.1</v>
      </c>
      <c r="J1388" s="6" t="n">
        <v>577.1</v>
      </c>
    </row>
    <row collapsed="false" customFormat="false" customHeight="false" hidden="false" ht="12.1" outlineLevel="0" r="1389">
      <c r="A1389" s="35" t="n">
        <v>47343</v>
      </c>
      <c r="B1389" s="16" t="s">
        <v>1375</v>
      </c>
      <c r="C1389" s="16" t="s">
        <v>232</v>
      </c>
      <c r="D1389" s="16" t="s">
        <v>233</v>
      </c>
      <c r="E1389" s="6" t="n">
        <v>1000</v>
      </c>
      <c r="F1389" s="7" t="n">
        <v>2</v>
      </c>
      <c r="G1389" s="6" t="n">
        <v>1.64</v>
      </c>
      <c r="H1389" s="6" t="n">
        <v>0</v>
      </c>
      <c r="I1389" s="6" t="n">
        <v>3.28</v>
      </c>
      <c r="J1389" s="6" t="n">
        <v>3.28</v>
      </c>
    </row>
    <row collapsed="false" customFormat="false" customHeight="false" hidden="false" ht="12.1" outlineLevel="0" r="1390">
      <c r="A1390" s="35" t="n">
        <v>47345</v>
      </c>
      <c r="B1390" s="16" t="s">
        <v>1375</v>
      </c>
      <c r="C1390" s="16" t="s">
        <v>187</v>
      </c>
      <c r="D1390" s="16" t="s">
        <v>188</v>
      </c>
      <c r="E1390" s="6" t="n">
        <v>1000</v>
      </c>
      <c r="F1390" s="7" t="n">
        <v>2</v>
      </c>
      <c r="G1390" s="6" t="n">
        <v>39.87</v>
      </c>
      <c r="H1390" s="6" t="n">
        <v>10</v>
      </c>
      <c r="I1390" s="6" t="n">
        <v>79.74</v>
      </c>
      <c r="J1390" s="6" t="n">
        <v>69.74</v>
      </c>
    </row>
    <row collapsed="false" customFormat="false" customHeight="false" hidden="false" ht="12.1" outlineLevel="0" r="1391">
      <c r="A1391" s="35" t="n">
        <v>47358</v>
      </c>
      <c r="B1391" s="16" t="s">
        <v>1375</v>
      </c>
      <c r="C1391" s="16" t="s">
        <v>163</v>
      </c>
      <c r="D1391" s="16" t="s">
        <v>164</v>
      </c>
      <c r="E1391" s="6" t="n">
        <v>1000</v>
      </c>
      <c r="F1391" s="7" t="n">
        <v>4</v>
      </c>
      <c r="G1391" s="6" t="n">
        <v>44.88</v>
      </c>
      <c r="H1391" s="6" t="n">
        <v>23</v>
      </c>
      <c r="I1391" s="6" t="n">
        <v>179.52</v>
      </c>
      <c r="J1391" s="6" t="n">
        <v>156.52</v>
      </c>
    </row>
    <row collapsed="false" customFormat="false" customHeight="false" hidden="false" ht="12.1" outlineLevel="0" r="1392">
      <c r="A1392" s="35" t="n">
        <v>47367</v>
      </c>
      <c r="B1392" s="16" t="s">
        <v>1375</v>
      </c>
      <c r="C1392" s="16" t="s">
        <v>229</v>
      </c>
      <c r="D1392" s="16" t="s">
        <v>230</v>
      </c>
      <c r="E1392" s="6" t="n">
        <v>1000</v>
      </c>
      <c r="F1392" s="7" t="n">
        <v>2</v>
      </c>
      <c r="G1392" s="6" t="n">
        <v>17.83</v>
      </c>
      <c r="H1392" s="6" t="n">
        <v>5</v>
      </c>
      <c r="I1392" s="6" t="n">
        <v>35.66</v>
      </c>
      <c r="J1392" s="6" t="n">
        <v>30.66</v>
      </c>
    </row>
    <row collapsed="false" customFormat="false" customHeight="false" hidden="false" ht="12.1" outlineLevel="0" r="1393">
      <c r="A1393" s="35" t="n">
        <v>47372</v>
      </c>
      <c r="B1393" s="16" t="s">
        <v>1375</v>
      </c>
      <c r="C1393" s="16" t="s">
        <v>103</v>
      </c>
      <c r="D1393" s="16" t="s">
        <v>104</v>
      </c>
      <c r="E1393" s="6" t="n">
        <v>1000</v>
      </c>
      <c r="F1393" s="7" t="n">
        <v>17</v>
      </c>
      <c r="G1393" s="6" t="n">
        <v>29.42</v>
      </c>
      <c r="H1393" s="6" t="n">
        <v>65</v>
      </c>
      <c r="I1393" s="6" t="n">
        <v>500.14</v>
      </c>
      <c r="J1393" s="6" t="n">
        <v>435.14</v>
      </c>
    </row>
    <row collapsed="false" customFormat="false" customHeight="false" hidden="false" ht="12.1" outlineLevel="0" r="1394">
      <c r="A1394" s="35" t="n">
        <v>47373</v>
      </c>
      <c r="B1394" s="16" t="s">
        <v>1375</v>
      </c>
      <c r="C1394" s="16" t="s">
        <v>232</v>
      </c>
      <c r="D1394" s="16" t="s">
        <v>233</v>
      </c>
      <c r="E1394" s="6" t="n">
        <v>1000</v>
      </c>
      <c r="F1394" s="7" t="n">
        <v>2</v>
      </c>
      <c r="G1394" s="6" t="n">
        <v>1.64</v>
      </c>
      <c r="H1394" s="6" t="n">
        <v>0</v>
      </c>
      <c r="I1394" s="6" t="n">
        <v>3.28</v>
      </c>
      <c r="J1394" s="6" t="n">
        <v>3.28</v>
      </c>
    </row>
    <row collapsed="false" customFormat="false" customHeight="false" hidden="false" ht="12.1" outlineLevel="0" r="1395">
      <c r="A1395" s="35" t="n">
        <v>47379</v>
      </c>
      <c r="B1395" s="16" t="s">
        <v>1375</v>
      </c>
      <c r="C1395" s="16" t="s">
        <v>133</v>
      </c>
      <c r="D1395" s="16" t="s">
        <v>134</v>
      </c>
      <c r="E1395" s="6" t="n">
        <v>1000</v>
      </c>
      <c r="F1395" s="7" t="n">
        <v>12</v>
      </c>
      <c r="G1395" s="6" t="n">
        <v>42.38</v>
      </c>
      <c r="H1395" s="6" t="n">
        <v>66</v>
      </c>
      <c r="I1395" s="6" t="n">
        <v>508.56</v>
      </c>
      <c r="J1395" s="6" t="n">
        <v>442.56</v>
      </c>
    </row>
    <row collapsed="false" customFormat="false" customHeight="false" hidden="false" ht="12.1" outlineLevel="0" r="1396">
      <c r="A1396" s="35" t="n">
        <v>47379</v>
      </c>
      <c r="B1396" s="16" t="s">
        <v>1375</v>
      </c>
      <c r="C1396" s="16" t="s">
        <v>130</v>
      </c>
      <c r="D1396" s="16" t="s">
        <v>131</v>
      </c>
      <c r="E1396" s="6" t="n">
        <v>1000</v>
      </c>
      <c r="F1396" s="7" t="n">
        <v>11</v>
      </c>
      <c r="G1396" s="6" t="n">
        <v>56.1</v>
      </c>
      <c r="H1396" s="6" t="n">
        <v>80</v>
      </c>
      <c r="I1396" s="6" t="n">
        <v>617.1</v>
      </c>
      <c r="J1396" s="6" t="n">
        <v>537.1</v>
      </c>
    </row>
    <row collapsed="false" customFormat="false" customHeight="false" hidden="false" ht="12.1" outlineLevel="0" r="1397">
      <c r="A1397" s="35" t="n">
        <v>47379</v>
      </c>
      <c r="B1397" s="16" t="s">
        <v>1375</v>
      </c>
      <c r="C1397" s="16" t="s">
        <v>97</v>
      </c>
      <c r="D1397" s="16" t="s">
        <v>98</v>
      </c>
      <c r="E1397" s="6" t="n">
        <v>1000</v>
      </c>
      <c r="F1397" s="7" t="n">
        <v>14</v>
      </c>
      <c r="G1397" s="6" t="n">
        <v>59.84</v>
      </c>
      <c r="H1397" s="6" t="n">
        <v>109</v>
      </c>
      <c r="I1397" s="6" t="n">
        <v>837.76</v>
      </c>
      <c r="J1397" s="6" t="n">
        <v>728.76</v>
      </c>
    </row>
    <row collapsed="false" customFormat="false" customHeight="false" hidden="false" ht="12.1" outlineLevel="0" r="1398">
      <c r="A1398" s="35" t="n">
        <v>47379</v>
      </c>
      <c r="B1398" s="16" t="s">
        <v>1375</v>
      </c>
      <c r="C1398" s="16" t="s">
        <v>157</v>
      </c>
      <c r="D1398" s="16" t="s">
        <v>158</v>
      </c>
      <c r="E1398" s="6" t="n">
        <v>1448.61</v>
      </c>
      <c r="F1398" s="7" t="n">
        <v>4</v>
      </c>
      <c r="G1398" s="6" t="n">
        <v>18.13</v>
      </c>
      <c r="H1398" s="6" t="n">
        <v>9</v>
      </c>
      <c r="I1398" s="6" t="n">
        <v>72.52</v>
      </c>
      <c r="J1398" s="6" t="n">
        <v>63.52</v>
      </c>
    </row>
    <row collapsed="false" customFormat="false" customHeight="false" hidden="false" ht="12.1" outlineLevel="0" r="1399">
      <c r="A1399" s="35" t="n">
        <v>47386</v>
      </c>
      <c r="B1399" s="16" t="s">
        <v>1375</v>
      </c>
      <c r="C1399" s="16" t="s">
        <v>106</v>
      </c>
      <c r="D1399" s="16" t="s">
        <v>107</v>
      </c>
      <c r="E1399" s="6" t="n">
        <v>1000</v>
      </c>
      <c r="F1399" s="7" t="n">
        <v>18</v>
      </c>
      <c r="G1399" s="6" t="n">
        <v>38.39</v>
      </c>
      <c r="H1399" s="6" t="n">
        <v>90</v>
      </c>
      <c r="I1399" s="6" t="n">
        <v>691.02</v>
      </c>
      <c r="J1399" s="6" t="n">
        <v>601.02</v>
      </c>
    </row>
    <row collapsed="false" customFormat="false" customHeight="false" hidden="false" ht="12.1" outlineLevel="0" r="1400">
      <c r="A1400" s="35" t="n">
        <v>47386</v>
      </c>
      <c r="B1400" s="16" t="s">
        <v>1375</v>
      </c>
      <c r="C1400" s="16" t="s">
        <v>127</v>
      </c>
      <c r="D1400" s="16" t="s">
        <v>128</v>
      </c>
      <c r="E1400" s="6" t="n">
        <v>1000</v>
      </c>
      <c r="F1400" s="7" t="n">
        <v>14</v>
      </c>
      <c r="G1400" s="6" t="n">
        <v>38.39</v>
      </c>
      <c r="H1400" s="6" t="n">
        <v>70</v>
      </c>
      <c r="I1400" s="6" t="n">
        <v>537.46</v>
      </c>
      <c r="J1400" s="6" t="n">
        <v>467.46</v>
      </c>
    </row>
    <row collapsed="false" customFormat="false" customHeight="false" hidden="false" ht="12.1" outlineLevel="0" r="1401">
      <c r="A1401" s="35" t="n">
        <v>47393</v>
      </c>
      <c r="B1401" s="16" t="s">
        <v>1375</v>
      </c>
      <c r="C1401" s="16" t="s">
        <v>121</v>
      </c>
      <c r="D1401" s="16" t="s">
        <v>122</v>
      </c>
      <c r="E1401" s="6" t="n">
        <v>1000</v>
      </c>
      <c r="F1401" s="7" t="n">
        <v>12</v>
      </c>
      <c r="G1401" s="6" t="n">
        <v>59.84</v>
      </c>
      <c r="H1401" s="6" t="n">
        <v>93</v>
      </c>
      <c r="I1401" s="6" t="n">
        <v>718.08</v>
      </c>
      <c r="J1401" s="6" t="n">
        <v>625.08</v>
      </c>
    </row>
    <row collapsed="false" customFormat="false" customHeight="false" hidden="false" ht="12.1" outlineLevel="0" r="1402">
      <c r="A1402" s="35" t="n">
        <v>47393</v>
      </c>
      <c r="B1402" s="16" t="s">
        <v>1375</v>
      </c>
      <c r="C1402" s="16" t="s">
        <v>142</v>
      </c>
      <c r="D1402" s="16" t="s">
        <v>143</v>
      </c>
      <c r="E1402" s="6" t="n">
        <v>1000</v>
      </c>
      <c r="F1402" s="7" t="n">
        <v>5</v>
      </c>
      <c r="G1402" s="6" t="n">
        <v>102.92</v>
      </c>
      <c r="H1402" s="6" t="n">
        <v>67</v>
      </c>
      <c r="I1402" s="6" t="n">
        <v>514.6</v>
      </c>
      <c r="J1402" s="6" t="n">
        <v>447.6</v>
      </c>
    </row>
    <row collapsed="false" customFormat="false" customHeight="false" hidden="false" ht="12.1" outlineLevel="0" r="1403">
      <c r="A1403" s="35" t="n">
        <v>47400</v>
      </c>
      <c r="B1403" s="16" t="s">
        <v>1375</v>
      </c>
      <c r="C1403" s="16" t="s">
        <v>124</v>
      </c>
      <c r="D1403" s="16" t="s">
        <v>125</v>
      </c>
      <c r="E1403" s="6" t="n">
        <v>1000</v>
      </c>
      <c r="F1403" s="7" t="n">
        <v>13</v>
      </c>
      <c r="G1403" s="6" t="n">
        <v>38.15</v>
      </c>
      <c r="H1403" s="6" t="n">
        <v>64</v>
      </c>
      <c r="I1403" s="6" t="n">
        <v>495.95</v>
      </c>
      <c r="J1403" s="6" t="n">
        <v>431.95</v>
      </c>
    </row>
    <row collapsed="false" customFormat="false" customHeight="false" hidden="false" ht="12.1" outlineLevel="0" r="1404">
      <c r="A1404" s="35" t="n">
        <v>47401</v>
      </c>
      <c r="B1404" s="16" t="s">
        <v>1375</v>
      </c>
      <c r="C1404" s="16" t="s">
        <v>178</v>
      </c>
      <c r="D1404" s="16" t="s">
        <v>179</v>
      </c>
      <c r="E1404" s="6" t="n">
        <v>1000</v>
      </c>
      <c r="F1404" s="7" t="n">
        <v>2</v>
      </c>
      <c r="G1404" s="6" t="n">
        <v>43.13</v>
      </c>
      <c r="H1404" s="6" t="n">
        <v>11</v>
      </c>
      <c r="I1404" s="6" t="n">
        <v>86.26</v>
      </c>
      <c r="J1404" s="6" t="n">
        <v>75.26</v>
      </c>
    </row>
    <row collapsed="false" customFormat="false" customHeight="false" hidden="false" ht="12.1" outlineLevel="0" r="1405">
      <c r="A1405" s="35" t="n">
        <v>47403</v>
      </c>
      <c r="B1405" s="16" t="s">
        <v>1375</v>
      </c>
      <c r="C1405" s="16" t="s">
        <v>232</v>
      </c>
      <c r="D1405" s="16" t="s">
        <v>233</v>
      </c>
      <c r="E1405" s="6" t="n">
        <v>1000</v>
      </c>
      <c r="F1405" s="7" t="n">
        <v>2</v>
      </c>
      <c r="G1405" s="6" t="n">
        <v>1.64</v>
      </c>
      <c r="H1405" s="6" t="n">
        <v>0</v>
      </c>
      <c r="I1405" s="6" t="n">
        <v>3.28</v>
      </c>
      <c r="J1405" s="6" t="n">
        <v>3.28</v>
      </c>
    </row>
    <row collapsed="false" customFormat="false" customHeight="false" hidden="false" ht="12.1" outlineLevel="0" r="1406">
      <c r="A1406" s="35" t="n">
        <v>47407</v>
      </c>
      <c r="B1406" s="16" t="s">
        <v>1375</v>
      </c>
      <c r="C1406" s="16" t="s">
        <v>208</v>
      </c>
      <c r="D1406" s="16" t="s">
        <v>209</v>
      </c>
      <c r="E1406" s="6" t="n">
        <v>1000</v>
      </c>
      <c r="F1406" s="7" t="n">
        <v>2</v>
      </c>
      <c r="G1406" s="6" t="n">
        <v>64.82</v>
      </c>
      <c r="H1406" s="6" t="n">
        <v>17</v>
      </c>
      <c r="I1406" s="6" t="n">
        <v>129.64</v>
      </c>
      <c r="J1406" s="6" t="n">
        <v>112.64</v>
      </c>
    </row>
    <row collapsed="false" customFormat="false" customHeight="false" hidden="false" ht="12.1" outlineLevel="0" r="1407">
      <c r="A1407" s="35" t="n">
        <v>47407</v>
      </c>
      <c r="B1407" s="16" t="s">
        <v>1375</v>
      </c>
      <c r="C1407" s="16" t="s">
        <v>169</v>
      </c>
      <c r="D1407" s="16" t="s">
        <v>170</v>
      </c>
      <c r="E1407" s="6" t="n">
        <v>1000</v>
      </c>
      <c r="F1407" s="7" t="n">
        <v>3</v>
      </c>
      <c r="G1407" s="6" t="n">
        <v>62.33</v>
      </c>
      <c r="H1407" s="6" t="n">
        <v>24</v>
      </c>
      <c r="I1407" s="6" t="n">
        <v>186.99</v>
      </c>
      <c r="J1407" s="6" t="n">
        <v>162.99</v>
      </c>
    </row>
    <row collapsed="false" customFormat="false" customHeight="false" hidden="false" ht="12.1" outlineLevel="0" r="1408">
      <c r="A1408" s="35" t="n">
        <v>47407</v>
      </c>
      <c r="B1408" s="16" t="s">
        <v>1375</v>
      </c>
      <c r="C1408" s="16" t="s">
        <v>205</v>
      </c>
      <c r="D1408" s="16" t="s">
        <v>206</v>
      </c>
      <c r="E1408" s="6" t="n">
        <v>1000</v>
      </c>
      <c r="F1408" s="7" t="n">
        <v>2</v>
      </c>
      <c r="G1408" s="6" t="n">
        <v>64.82</v>
      </c>
      <c r="H1408" s="6" t="n">
        <v>17</v>
      </c>
      <c r="I1408" s="6" t="n">
        <v>129.64</v>
      </c>
      <c r="J1408" s="6" t="n">
        <v>112.64</v>
      </c>
    </row>
    <row collapsed="false" customFormat="false" customHeight="false" hidden="false" ht="12.1" outlineLevel="0" r="1409">
      <c r="A1409" s="35" t="n">
        <v>47428</v>
      </c>
      <c r="B1409" s="16" t="s">
        <v>1375</v>
      </c>
      <c r="C1409" s="16" t="s">
        <v>109</v>
      </c>
      <c r="D1409" s="16" t="s">
        <v>110</v>
      </c>
      <c r="E1409" s="6" t="n">
        <v>1000</v>
      </c>
      <c r="F1409" s="7" t="n">
        <v>11</v>
      </c>
      <c r="G1409" s="6" t="n">
        <v>99.18</v>
      </c>
      <c r="H1409" s="6" t="n">
        <v>142</v>
      </c>
      <c r="I1409" s="6" t="n">
        <v>1090.98</v>
      </c>
      <c r="J1409" s="6" t="n">
        <v>948.98</v>
      </c>
    </row>
    <row collapsed="false" customFormat="false" customHeight="false" hidden="false" ht="12.1" outlineLevel="0" r="1410">
      <c r="A1410" s="35" t="n">
        <v>47433</v>
      </c>
      <c r="B1410" s="16" t="s">
        <v>1375</v>
      </c>
      <c r="C1410" s="16" t="s">
        <v>232</v>
      </c>
      <c r="D1410" s="16" t="s">
        <v>233</v>
      </c>
      <c r="E1410" s="6" t="n">
        <v>1000</v>
      </c>
      <c r="F1410" s="7" t="n">
        <v>2</v>
      </c>
      <c r="G1410" s="6" t="n">
        <v>1.64</v>
      </c>
      <c r="H1410" s="6" t="n">
        <v>0</v>
      </c>
      <c r="I1410" s="6" t="n">
        <v>3.28</v>
      </c>
      <c r="J1410" s="6" t="n">
        <v>3.28</v>
      </c>
    </row>
    <row collapsed="false" customFormat="false" customHeight="false" hidden="false" ht="12.1" outlineLevel="0" r="1411">
      <c r="A1411" s="35" t="n">
        <v>47435</v>
      </c>
      <c r="B1411" s="16" t="s">
        <v>1375</v>
      </c>
      <c r="C1411" s="16" t="s">
        <v>139</v>
      </c>
      <c r="D1411" s="16" t="s">
        <v>140</v>
      </c>
      <c r="E1411" s="6" t="n">
        <v>1242.73</v>
      </c>
      <c r="F1411" s="7" t="n">
        <v>6</v>
      </c>
      <c r="G1411" s="6" t="n">
        <v>15.55</v>
      </c>
      <c r="H1411" s="6" t="n">
        <v>12</v>
      </c>
      <c r="I1411" s="6" t="n">
        <v>93.3</v>
      </c>
      <c r="J1411" s="6" t="n">
        <v>81.3</v>
      </c>
    </row>
    <row collapsed="false" customFormat="false" customHeight="false" hidden="false" ht="12.1" outlineLevel="0" r="1412">
      <c r="A1412" s="35" t="n">
        <v>47435</v>
      </c>
      <c r="B1412" s="16" t="s">
        <v>1375</v>
      </c>
      <c r="C1412" s="16" t="s">
        <v>136</v>
      </c>
      <c r="D1412" s="16" t="s">
        <v>137</v>
      </c>
      <c r="E1412" s="6" t="n">
        <v>1000</v>
      </c>
      <c r="F1412" s="7" t="n">
        <v>14</v>
      </c>
      <c r="G1412" s="6" t="n">
        <v>36.15</v>
      </c>
      <c r="H1412" s="6" t="n">
        <v>66</v>
      </c>
      <c r="I1412" s="6" t="n">
        <v>506.1</v>
      </c>
      <c r="J1412" s="6" t="n">
        <v>440.1</v>
      </c>
    </row>
    <row collapsed="false" customFormat="false" customHeight="false" hidden="false" ht="12.1" outlineLevel="0" r="1413">
      <c r="A1413" s="35" t="n">
        <v>47436</v>
      </c>
      <c r="B1413" s="16" t="s">
        <v>1375</v>
      </c>
      <c r="C1413" s="16" t="s">
        <v>187</v>
      </c>
      <c r="D1413" s="16" t="s">
        <v>188</v>
      </c>
      <c r="E1413" s="6" t="n">
        <v>1000</v>
      </c>
      <c r="F1413" s="7" t="n">
        <v>2</v>
      </c>
      <c r="G1413" s="6" t="n">
        <v>39.87</v>
      </c>
      <c r="H1413" s="6" t="n">
        <v>10</v>
      </c>
      <c r="I1413" s="6" t="n">
        <v>79.74</v>
      </c>
      <c r="J1413" s="6" t="n">
        <v>69.74</v>
      </c>
    </row>
    <row collapsed="false" customFormat="false" customHeight="false" hidden="false" ht="12.1" outlineLevel="0" r="1414">
      <c r="A1414" s="35" t="n">
        <v>47442</v>
      </c>
      <c r="B1414" s="16" t="s">
        <v>1375</v>
      </c>
      <c r="C1414" s="16" t="s">
        <v>115</v>
      </c>
      <c r="D1414" s="16" t="s">
        <v>116</v>
      </c>
      <c r="E1414" s="6" t="n">
        <v>1000</v>
      </c>
      <c r="F1414" s="7" t="n">
        <v>13</v>
      </c>
      <c r="G1414" s="6" t="n">
        <v>61.08</v>
      </c>
      <c r="H1414" s="6" t="n">
        <v>103</v>
      </c>
      <c r="I1414" s="6" t="n">
        <v>794.04</v>
      </c>
      <c r="J1414" s="6" t="n">
        <v>691.04</v>
      </c>
    </row>
    <row collapsed="false" customFormat="false" customHeight="false" hidden="false" ht="12.1" outlineLevel="0" r="1415">
      <c r="A1415" s="35" t="n">
        <v>47442</v>
      </c>
      <c r="B1415" s="16" t="s">
        <v>1375</v>
      </c>
      <c r="C1415" s="16" t="s">
        <v>118</v>
      </c>
      <c r="D1415" s="16" t="s">
        <v>119</v>
      </c>
      <c r="E1415" s="6" t="n">
        <v>1000</v>
      </c>
      <c r="F1415" s="7" t="n">
        <v>14</v>
      </c>
      <c r="G1415" s="6" t="n">
        <v>47.37</v>
      </c>
      <c r="H1415" s="6" t="n">
        <v>86</v>
      </c>
      <c r="I1415" s="6" t="n">
        <v>663.18</v>
      </c>
      <c r="J1415" s="6" t="n">
        <v>577.18</v>
      </c>
    </row>
    <row collapsed="false" customFormat="false" customHeight="false" hidden="false" ht="12.1" outlineLevel="0" r="1416">
      <c r="A1416" s="35" t="n">
        <v>47449</v>
      </c>
      <c r="B1416" s="16" t="s">
        <v>1375</v>
      </c>
      <c r="C1416" s="16" t="s">
        <v>100</v>
      </c>
      <c r="D1416" s="16" t="s">
        <v>101</v>
      </c>
      <c r="E1416" s="6" t="n">
        <v>1000</v>
      </c>
      <c r="F1416" s="7" t="n">
        <v>14</v>
      </c>
      <c r="G1416" s="6" t="n">
        <v>61.08</v>
      </c>
      <c r="H1416" s="6" t="n">
        <v>111</v>
      </c>
      <c r="I1416" s="6" t="n">
        <v>855.12</v>
      </c>
      <c r="J1416" s="6" t="n">
        <v>744.12</v>
      </c>
    </row>
    <row collapsed="false" customFormat="false" customHeight="false" hidden="false" ht="12.1" outlineLevel="0" r="1417">
      <c r="A1417" s="35" t="n">
        <v>47449</v>
      </c>
      <c r="B1417" s="16" t="s">
        <v>1375</v>
      </c>
      <c r="C1417" s="16" t="s">
        <v>94</v>
      </c>
      <c r="D1417" s="16" t="s">
        <v>95</v>
      </c>
      <c r="E1417" s="6" t="n">
        <v>1000</v>
      </c>
      <c r="F1417" s="7" t="n">
        <v>23</v>
      </c>
      <c r="G1417" s="6" t="n">
        <v>35.4</v>
      </c>
      <c r="H1417" s="6" t="n">
        <v>106</v>
      </c>
      <c r="I1417" s="6" t="n">
        <v>814.2</v>
      </c>
      <c r="J1417" s="6" t="n">
        <v>708.2</v>
      </c>
    </row>
    <row collapsed="false" customFormat="false" customHeight="false" hidden="false" ht="12.1" outlineLevel="0" r="1418">
      <c r="A1418" s="35" t="n">
        <v>47449</v>
      </c>
      <c r="B1418" s="16" t="s">
        <v>1375</v>
      </c>
      <c r="C1418" s="16" t="s">
        <v>91</v>
      </c>
      <c r="D1418" s="16" t="s">
        <v>92</v>
      </c>
      <c r="E1418" s="6" t="n">
        <v>1000</v>
      </c>
      <c r="F1418" s="7" t="n">
        <v>19</v>
      </c>
      <c r="G1418" s="6" t="n">
        <v>48.87</v>
      </c>
      <c r="H1418" s="6" t="n">
        <v>121</v>
      </c>
      <c r="I1418" s="6" t="n">
        <v>928.53</v>
      </c>
      <c r="J1418" s="6" t="n">
        <v>807.53</v>
      </c>
    </row>
    <row collapsed="false" customFormat="false" customHeight="false" hidden="false" ht="12.1" outlineLevel="0" r="1419">
      <c r="A1419" s="35" t="n">
        <v>47458</v>
      </c>
      <c r="B1419" s="16" t="s">
        <v>1375</v>
      </c>
      <c r="C1419" s="16" t="s">
        <v>229</v>
      </c>
      <c r="D1419" s="16" t="s">
        <v>230</v>
      </c>
      <c r="E1419" s="6" t="n">
        <v>1000</v>
      </c>
      <c r="F1419" s="7" t="n">
        <v>2</v>
      </c>
      <c r="G1419" s="6" t="n">
        <v>17.83</v>
      </c>
      <c r="H1419" s="6" t="n">
        <v>5</v>
      </c>
      <c r="I1419" s="6" t="n">
        <v>35.66</v>
      </c>
      <c r="J1419" s="6" t="n">
        <v>30.66</v>
      </c>
    </row>
    <row collapsed="false" customFormat="false" customHeight="false" hidden="false" ht="12.1" outlineLevel="0" r="1420">
      <c r="A1420" s="35" t="n">
        <v>47463</v>
      </c>
      <c r="B1420" s="16" t="s">
        <v>1375</v>
      </c>
      <c r="C1420" s="16" t="s">
        <v>88</v>
      </c>
      <c r="D1420" s="16" t="s">
        <v>89</v>
      </c>
      <c r="E1420" s="6" t="n">
        <v>1000</v>
      </c>
      <c r="F1420" s="7" t="n">
        <v>14</v>
      </c>
      <c r="G1420" s="6" t="n">
        <v>95.44</v>
      </c>
      <c r="H1420" s="6" t="n">
        <v>174</v>
      </c>
      <c r="I1420" s="6" t="n">
        <v>1336.16</v>
      </c>
      <c r="J1420" s="6" t="n">
        <v>1162.16</v>
      </c>
    </row>
    <row collapsed="false" customFormat="false" customHeight="false" hidden="false" ht="12.1" outlineLevel="0" r="1421">
      <c r="A1421" s="35" t="n">
        <v>47463</v>
      </c>
      <c r="B1421" s="16" t="s">
        <v>1375</v>
      </c>
      <c r="C1421" s="16" t="s">
        <v>232</v>
      </c>
      <c r="D1421" s="16" t="s">
        <v>233</v>
      </c>
      <c r="E1421" s="6" t="n">
        <v>1000</v>
      </c>
      <c r="F1421" s="7" t="n">
        <v>2</v>
      </c>
      <c r="G1421" s="6" t="n">
        <v>1.64</v>
      </c>
      <c r="H1421" s="6" t="n">
        <v>0</v>
      </c>
      <c r="I1421" s="6" t="n">
        <v>3.28</v>
      </c>
      <c r="J1421" s="6" t="n">
        <v>3.28</v>
      </c>
    </row>
    <row collapsed="false" customFormat="false" customHeight="false" hidden="false" ht="12.1" outlineLevel="0" r="1422">
      <c r="A1422" s="35" t="n">
        <v>47470</v>
      </c>
      <c r="B1422" s="16" t="s">
        <v>1375</v>
      </c>
      <c r="C1422" s="16" t="s">
        <v>148</v>
      </c>
      <c r="D1422" s="16" t="s">
        <v>149</v>
      </c>
      <c r="E1422" s="6" t="n">
        <v>1000</v>
      </c>
      <c r="F1422" s="7" t="n">
        <v>6</v>
      </c>
      <c r="G1422" s="6" t="n">
        <v>54.85</v>
      </c>
      <c r="H1422" s="6" t="n">
        <v>43</v>
      </c>
      <c r="I1422" s="6" t="n">
        <v>329.1</v>
      </c>
      <c r="J1422" s="6" t="n">
        <v>286.1</v>
      </c>
    </row>
    <row collapsed="false" customFormat="false" customHeight="false" hidden="false" ht="12.1" outlineLevel="0" r="1423">
      <c r="A1423" s="35" t="n">
        <v>47470</v>
      </c>
      <c r="B1423" s="16" t="s">
        <v>1375</v>
      </c>
      <c r="C1423" s="16" t="s">
        <v>145</v>
      </c>
      <c r="D1423" s="16" t="s">
        <v>146</v>
      </c>
      <c r="E1423" s="6" t="n">
        <v>1000</v>
      </c>
      <c r="F1423" s="7" t="n">
        <v>6</v>
      </c>
      <c r="G1423" s="6" t="n">
        <v>59.84</v>
      </c>
      <c r="H1423" s="6" t="n">
        <v>47</v>
      </c>
      <c r="I1423" s="6" t="n">
        <v>359.04</v>
      </c>
      <c r="J1423" s="6" t="n">
        <v>312.04</v>
      </c>
    </row>
    <row collapsed="false" customFormat="false" customHeight="false" hidden="false" ht="12.1" outlineLevel="0" r="1424">
      <c r="A1424" s="35" t="n">
        <v>47492</v>
      </c>
      <c r="B1424" s="16" t="s">
        <v>1375</v>
      </c>
      <c r="C1424" s="16" t="s">
        <v>178</v>
      </c>
      <c r="D1424" s="16" t="s">
        <v>179</v>
      </c>
      <c r="E1424" s="6" t="n">
        <v>1000</v>
      </c>
      <c r="F1424" s="7" t="n">
        <v>2</v>
      </c>
      <c r="G1424" s="6" t="n">
        <v>43.13</v>
      </c>
      <c r="H1424" s="6" t="n">
        <v>11</v>
      </c>
      <c r="I1424" s="6" t="n">
        <v>86.26</v>
      </c>
      <c r="J1424" s="6" t="n">
        <v>75.26</v>
      </c>
    </row>
    <row collapsed="false" customFormat="false" customHeight="false" hidden="false" ht="12.1" outlineLevel="0" r="1425">
      <c r="A1425" s="35" t="n">
        <v>47493</v>
      </c>
      <c r="B1425" s="16" t="s">
        <v>1375</v>
      </c>
      <c r="C1425" s="16" t="s">
        <v>232</v>
      </c>
      <c r="D1425" s="16" t="s">
        <v>233</v>
      </c>
      <c r="E1425" s="6" t="n">
        <v>1000</v>
      </c>
      <c r="F1425" s="7" t="n">
        <v>2</v>
      </c>
      <c r="G1425" s="6" t="n">
        <v>1.64</v>
      </c>
      <c r="H1425" s="6" t="n">
        <v>0</v>
      </c>
      <c r="I1425" s="6" t="n">
        <v>3.28</v>
      </c>
      <c r="J1425" s="6" t="n">
        <v>3.28</v>
      </c>
    </row>
    <row collapsed="false" customFormat="false" customHeight="false" hidden="false" ht="12.1" outlineLevel="0" r="1426">
      <c r="A1426" s="35" t="n">
        <v>47505</v>
      </c>
      <c r="B1426" s="16" t="s">
        <v>1375</v>
      </c>
      <c r="C1426" s="16" t="s">
        <v>84</v>
      </c>
      <c r="D1426" s="16" t="s">
        <v>86</v>
      </c>
      <c r="E1426" s="6" t="n">
        <v>1000</v>
      </c>
      <c r="F1426" s="7" t="n">
        <v>34</v>
      </c>
      <c r="G1426" s="6" t="n">
        <v>30.42</v>
      </c>
      <c r="H1426" s="6" t="n">
        <v>134</v>
      </c>
      <c r="I1426" s="6" t="n">
        <v>1034.28</v>
      </c>
      <c r="J1426" s="6" t="n">
        <v>900.28</v>
      </c>
    </row>
    <row collapsed="false" customFormat="false" customHeight="false" hidden="false" ht="12.1" outlineLevel="0" r="1427">
      <c r="A1427" s="35" t="n">
        <v>47505</v>
      </c>
      <c r="B1427" s="16" t="s">
        <v>1375</v>
      </c>
      <c r="C1427" s="16" t="s">
        <v>154</v>
      </c>
      <c r="D1427" s="16" t="s">
        <v>155</v>
      </c>
      <c r="E1427" s="6" t="n">
        <v>1000</v>
      </c>
      <c r="F1427" s="7" t="n">
        <v>6</v>
      </c>
      <c r="G1427" s="6" t="n">
        <v>34.41</v>
      </c>
      <c r="H1427" s="6" t="n">
        <v>27</v>
      </c>
      <c r="I1427" s="6" t="n">
        <v>206.46</v>
      </c>
      <c r="J1427" s="6" t="n">
        <v>179.46</v>
      </c>
    </row>
    <row collapsed="false" customFormat="false" customHeight="false" hidden="false" ht="12.1" outlineLevel="0" r="1428">
      <c r="A1428" s="35" t="n">
        <v>47519</v>
      </c>
      <c r="B1428" s="16" t="s">
        <v>1375</v>
      </c>
      <c r="C1428" s="16" t="s">
        <v>112</v>
      </c>
      <c r="D1428" s="16" t="s">
        <v>113</v>
      </c>
      <c r="E1428" s="6" t="n">
        <v>1000</v>
      </c>
      <c r="F1428" s="7" t="n">
        <v>19</v>
      </c>
      <c r="G1428" s="6" t="n">
        <v>34.9</v>
      </c>
      <c r="H1428" s="6" t="n">
        <v>86</v>
      </c>
      <c r="I1428" s="6" t="n">
        <v>663.1</v>
      </c>
      <c r="J1428" s="6" t="n">
        <v>577.1</v>
      </c>
    </row>
    <row collapsed="false" customFormat="false" customHeight="false" hidden="false" ht="12.1" outlineLevel="0" r="1429">
      <c r="A1429" s="35" t="n">
        <v>47523</v>
      </c>
      <c r="B1429" s="16" t="s">
        <v>1375</v>
      </c>
      <c r="C1429" s="16" t="s">
        <v>232</v>
      </c>
      <c r="D1429" s="16" t="s">
        <v>233</v>
      </c>
      <c r="E1429" s="6" t="n">
        <v>1000</v>
      </c>
      <c r="F1429" s="7" t="n">
        <v>2</v>
      </c>
      <c r="G1429" s="6" t="n">
        <v>1.64</v>
      </c>
      <c r="H1429" s="6" t="n">
        <v>0</v>
      </c>
      <c r="I1429" s="6" t="n">
        <v>3.28</v>
      </c>
      <c r="J1429" s="6" t="n">
        <v>3.28</v>
      </c>
    </row>
    <row collapsed="false" customFormat="false" customHeight="false" hidden="false" ht="12.1" outlineLevel="0" r="1430">
      <c r="A1430" s="35" t="n">
        <v>47553</v>
      </c>
      <c r="B1430" s="16" t="s">
        <v>1375</v>
      </c>
      <c r="C1430" s="16" t="s">
        <v>232</v>
      </c>
      <c r="D1430" s="16" t="s">
        <v>233</v>
      </c>
      <c r="E1430" s="6" t="n">
        <v>1000</v>
      </c>
      <c r="F1430" s="7" t="n">
        <v>2</v>
      </c>
      <c r="G1430" s="6" t="n">
        <v>1.64</v>
      </c>
      <c r="H1430" s="6" t="n">
        <v>0</v>
      </c>
      <c r="I1430" s="6" t="n">
        <v>3.28</v>
      </c>
      <c r="J1430" s="6" t="n">
        <v>3.28</v>
      </c>
    </row>
    <row collapsed="false" customFormat="false" customHeight="false" hidden="false" ht="12.1" outlineLevel="0" r="1431">
      <c r="A1431" s="35" t="n">
        <v>47554</v>
      </c>
      <c r="B1431" s="16" t="s">
        <v>1375</v>
      </c>
      <c r="C1431" s="16" t="s">
        <v>103</v>
      </c>
      <c r="D1431" s="16" t="s">
        <v>104</v>
      </c>
      <c r="E1431" s="6" t="n">
        <v>1000</v>
      </c>
      <c r="F1431" s="7" t="n">
        <v>17</v>
      </c>
      <c r="G1431" s="6" t="n">
        <v>29.42</v>
      </c>
      <c r="H1431" s="6" t="n">
        <v>65</v>
      </c>
      <c r="I1431" s="6" t="n">
        <v>500.14</v>
      </c>
      <c r="J1431" s="6" t="n">
        <v>435.14</v>
      </c>
    </row>
    <row collapsed="false" customFormat="false" customHeight="false" hidden="false" ht="12.1" outlineLevel="0" r="1432">
      <c r="A1432" s="35" t="n">
        <v>47561</v>
      </c>
      <c r="B1432" s="16" t="s">
        <v>1375</v>
      </c>
      <c r="C1432" s="16" t="s">
        <v>157</v>
      </c>
      <c r="D1432" s="16" t="s">
        <v>158</v>
      </c>
      <c r="E1432" s="6" t="n">
        <v>1448.61</v>
      </c>
      <c r="F1432" s="7" t="n">
        <v>4</v>
      </c>
      <c r="G1432" s="6" t="n">
        <v>18.13</v>
      </c>
      <c r="H1432" s="6" t="n">
        <v>9</v>
      </c>
      <c r="I1432" s="6" t="n">
        <v>72.52</v>
      </c>
      <c r="J1432" s="6" t="n">
        <v>63.52</v>
      </c>
    </row>
    <row collapsed="false" customFormat="false" customHeight="false" hidden="false" ht="12.1" outlineLevel="0" r="1433">
      <c r="A1433" s="35" t="n">
        <v>47561</v>
      </c>
      <c r="B1433" s="16" t="s">
        <v>1375</v>
      </c>
      <c r="C1433" s="16" t="s">
        <v>133</v>
      </c>
      <c r="D1433" s="16" t="s">
        <v>134</v>
      </c>
      <c r="E1433" s="6" t="n">
        <v>1000</v>
      </c>
      <c r="F1433" s="7" t="n">
        <v>12</v>
      </c>
      <c r="G1433" s="6" t="n">
        <v>42.38</v>
      </c>
      <c r="H1433" s="6" t="n">
        <v>66</v>
      </c>
      <c r="I1433" s="6" t="n">
        <v>508.56</v>
      </c>
      <c r="J1433" s="6" t="n">
        <v>442.56</v>
      </c>
    </row>
    <row collapsed="false" customFormat="false" customHeight="false" hidden="false" ht="12.1" outlineLevel="0" r="1434">
      <c r="A1434" s="35" t="n">
        <v>47561</v>
      </c>
      <c r="B1434" s="16" t="s">
        <v>1375</v>
      </c>
      <c r="C1434" s="16" t="s">
        <v>97</v>
      </c>
      <c r="D1434" s="16" t="s">
        <v>98</v>
      </c>
      <c r="E1434" s="6" t="n">
        <v>1000</v>
      </c>
      <c r="F1434" s="7" t="n">
        <v>14</v>
      </c>
      <c r="G1434" s="6" t="n">
        <v>59.84</v>
      </c>
      <c r="H1434" s="6" t="n">
        <v>109</v>
      </c>
      <c r="I1434" s="6" t="n">
        <v>837.76</v>
      </c>
      <c r="J1434" s="6" t="n">
        <v>728.76</v>
      </c>
    </row>
    <row collapsed="false" customFormat="false" customHeight="false" hidden="false" ht="12.1" outlineLevel="0" r="1435">
      <c r="A1435" s="35" t="n">
        <v>47561</v>
      </c>
      <c r="B1435" s="16" t="s">
        <v>1375</v>
      </c>
      <c r="C1435" s="16" t="s">
        <v>130</v>
      </c>
      <c r="D1435" s="16" t="s">
        <v>131</v>
      </c>
      <c r="E1435" s="6" t="n">
        <v>1000</v>
      </c>
      <c r="F1435" s="7" t="n">
        <v>11</v>
      </c>
      <c r="G1435" s="6" t="n">
        <v>56.1</v>
      </c>
      <c r="H1435" s="6" t="n">
        <v>80</v>
      </c>
      <c r="I1435" s="6" t="n">
        <v>617.1</v>
      </c>
      <c r="J1435" s="6" t="n">
        <v>537.1</v>
      </c>
    </row>
    <row collapsed="false" customFormat="false" customHeight="false" hidden="false" ht="12.1" outlineLevel="0" r="1436">
      <c r="A1436" s="35" t="n">
        <v>47568</v>
      </c>
      <c r="B1436" s="16" t="s">
        <v>1375</v>
      </c>
      <c r="C1436" s="16" t="s">
        <v>127</v>
      </c>
      <c r="D1436" s="16" t="s">
        <v>128</v>
      </c>
      <c r="E1436" s="6" t="n">
        <v>1000</v>
      </c>
      <c r="F1436" s="7" t="n">
        <v>14</v>
      </c>
      <c r="G1436" s="6" t="n">
        <v>38.39</v>
      </c>
      <c r="H1436" s="6" t="n">
        <v>70</v>
      </c>
      <c r="I1436" s="6" t="n">
        <v>537.46</v>
      </c>
      <c r="J1436" s="6" t="n">
        <v>467.46</v>
      </c>
    </row>
    <row collapsed="false" customFormat="false" customHeight="false" hidden="false" ht="12.1" outlineLevel="0" r="1437">
      <c r="A1437" s="35" t="n">
        <v>47568</v>
      </c>
      <c r="B1437" s="16" t="s">
        <v>1375</v>
      </c>
      <c r="C1437" s="16" t="s">
        <v>106</v>
      </c>
      <c r="D1437" s="16" t="s">
        <v>107</v>
      </c>
      <c r="E1437" s="6" t="n">
        <v>1000</v>
      </c>
      <c r="F1437" s="7" t="n">
        <v>18</v>
      </c>
      <c r="G1437" s="6" t="n">
        <v>38.39</v>
      </c>
      <c r="H1437" s="6" t="n">
        <v>90</v>
      </c>
      <c r="I1437" s="6" t="n">
        <v>691.02</v>
      </c>
      <c r="J1437" s="6" t="n">
        <v>601.02</v>
      </c>
    </row>
    <row collapsed="false" customFormat="false" customHeight="false" hidden="false" ht="12.1" outlineLevel="0" r="1438">
      <c r="A1438" s="35" t="n">
        <v>47575</v>
      </c>
      <c r="B1438" s="16" t="s">
        <v>1375</v>
      </c>
      <c r="C1438" s="16" t="s">
        <v>121</v>
      </c>
      <c r="D1438" s="16" t="s">
        <v>122</v>
      </c>
      <c r="E1438" s="6" t="n">
        <v>1000</v>
      </c>
      <c r="F1438" s="7" t="n">
        <v>12</v>
      </c>
      <c r="G1438" s="6" t="n">
        <v>59.84</v>
      </c>
      <c r="H1438" s="6" t="n">
        <v>93</v>
      </c>
      <c r="I1438" s="6" t="n">
        <v>718.08</v>
      </c>
      <c r="J1438" s="6" t="n">
        <v>625.08</v>
      </c>
    </row>
    <row collapsed="false" customFormat="false" customHeight="false" hidden="false" ht="12.1" outlineLevel="0" r="1439">
      <c r="A1439" s="35" t="n">
        <v>47582</v>
      </c>
      <c r="B1439" s="16" t="s">
        <v>1375</v>
      </c>
      <c r="C1439" s="16" t="s">
        <v>124</v>
      </c>
      <c r="D1439" s="16" t="s">
        <v>125</v>
      </c>
      <c r="E1439" s="6" t="n">
        <v>1000</v>
      </c>
      <c r="F1439" s="7" t="n">
        <v>13</v>
      </c>
      <c r="G1439" s="6" t="n">
        <v>38.15</v>
      </c>
      <c r="H1439" s="6" t="n">
        <v>64</v>
      </c>
      <c r="I1439" s="6" t="n">
        <v>495.95</v>
      </c>
      <c r="J1439" s="6" t="n">
        <v>431.95</v>
      </c>
    </row>
    <row collapsed="false" customFormat="false" customHeight="false" hidden="false" ht="12.1" outlineLevel="0" r="1440">
      <c r="A1440" s="35" t="n">
        <v>47583</v>
      </c>
      <c r="B1440" s="16" t="s">
        <v>1375</v>
      </c>
      <c r="C1440" s="16" t="s">
        <v>178</v>
      </c>
      <c r="D1440" s="16" t="s">
        <v>179</v>
      </c>
      <c r="E1440" s="6" t="n">
        <v>1000</v>
      </c>
      <c r="F1440" s="7" t="n">
        <v>2</v>
      </c>
      <c r="G1440" s="6" t="n">
        <v>43.13</v>
      </c>
      <c r="H1440" s="6" t="n">
        <v>11</v>
      </c>
      <c r="I1440" s="6" t="n">
        <v>86.26</v>
      </c>
      <c r="J1440" s="6" t="n">
        <v>75.26</v>
      </c>
    </row>
    <row collapsed="false" customFormat="false" customHeight="false" hidden="false" ht="12.1" outlineLevel="0" r="1441">
      <c r="A1441" s="35" t="n">
        <v>47583</v>
      </c>
      <c r="B1441" s="16" t="s">
        <v>1375</v>
      </c>
      <c r="C1441" s="16" t="s">
        <v>232</v>
      </c>
      <c r="D1441" s="16" t="s">
        <v>233</v>
      </c>
      <c r="E1441" s="6" t="n">
        <v>1000</v>
      </c>
      <c r="F1441" s="7" t="n">
        <v>2</v>
      </c>
      <c r="G1441" s="6" t="n">
        <v>1.64</v>
      </c>
      <c r="H1441" s="6" t="n">
        <v>0</v>
      </c>
      <c r="I1441" s="6" t="n">
        <v>3.28</v>
      </c>
      <c r="J1441" s="6" t="n">
        <v>3.28</v>
      </c>
    </row>
    <row collapsed="false" customFormat="false" customHeight="false" hidden="false" ht="12.1" outlineLevel="0" r="1442">
      <c r="A1442" s="35" t="n">
        <v>47589</v>
      </c>
      <c r="B1442" s="16" t="s">
        <v>1375</v>
      </c>
      <c r="C1442" s="16" t="s">
        <v>208</v>
      </c>
      <c r="D1442" s="16" t="s">
        <v>209</v>
      </c>
      <c r="E1442" s="6" t="n">
        <v>1000</v>
      </c>
      <c r="F1442" s="7" t="n">
        <v>2</v>
      </c>
      <c r="G1442" s="6" t="n">
        <v>64.82</v>
      </c>
      <c r="H1442" s="6" t="n">
        <v>17</v>
      </c>
      <c r="I1442" s="6" t="n">
        <v>129.64</v>
      </c>
      <c r="J1442" s="6" t="n">
        <v>112.64</v>
      </c>
    </row>
    <row collapsed="false" customFormat="false" customHeight="false" hidden="false" ht="12.1" outlineLevel="0" r="1443">
      <c r="A1443" s="35" t="n">
        <v>47589</v>
      </c>
      <c r="B1443" s="16" t="s">
        <v>1375</v>
      </c>
      <c r="C1443" s="16" t="s">
        <v>169</v>
      </c>
      <c r="D1443" s="16" t="s">
        <v>170</v>
      </c>
      <c r="E1443" s="6" t="n">
        <v>1000</v>
      </c>
      <c r="F1443" s="7" t="n">
        <v>3</v>
      </c>
      <c r="G1443" s="6" t="n">
        <v>62.33</v>
      </c>
      <c r="H1443" s="6" t="n">
        <v>24</v>
      </c>
      <c r="I1443" s="6" t="n">
        <v>186.99</v>
      </c>
      <c r="J1443" s="6" t="n">
        <v>162.99</v>
      </c>
    </row>
    <row collapsed="false" customFormat="false" customHeight="false" hidden="false" ht="12.1" outlineLevel="0" r="1444">
      <c r="A1444" s="35" t="n">
        <v>47589</v>
      </c>
      <c r="B1444" s="16" t="s">
        <v>1375</v>
      </c>
      <c r="C1444" s="16" t="s">
        <v>205</v>
      </c>
      <c r="D1444" s="16" t="s">
        <v>206</v>
      </c>
      <c r="E1444" s="6" t="n">
        <v>1000</v>
      </c>
      <c r="F1444" s="7" t="n">
        <v>2</v>
      </c>
      <c r="G1444" s="6" t="n">
        <v>64.82</v>
      </c>
      <c r="H1444" s="6" t="n">
        <v>17</v>
      </c>
      <c r="I1444" s="6" t="n">
        <v>129.64</v>
      </c>
      <c r="J1444" s="6" t="n">
        <v>112.64</v>
      </c>
    </row>
    <row collapsed="false" customFormat="false" customHeight="false" hidden="false" ht="12.1" outlineLevel="0" r="1445">
      <c r="A1445" s="35" t="n">
        <v>47610</v>
      </c>
      <c r="B1445" s="16" t="s">
        <v>1375</v>
      </c>
      <c r="C1445" s="16" t="s">
        <v>109</v>
      </c>
      <c r="D1445" s="16" t="s">
        <v>110</v>
      </c>
      <c r="E1445" s="6" t="n">
        <v>1000</v>
      </c>
      <c r="F1445" s="7" t="n">
        <v>11</v>
      </c>
      <c r="G1445" s="6" t="n">
        <v>99.18</v>
      </c>
      <c r="H1445" s="6" t="n">
        <v>142</v>
      </c>
      <c r="I1445" s="6" t="n">
        <v>1090.98</v>
      </c>
      <c r="J1445" s="6" t="n">
        <v>948.98</v>
      </c>
    </row>
    <row collapsed="false" customFormat="false" customHeight="false" hidden="false" ht="12.1" outlineLevel="0" r="1446">
      <c r="A1446" s="35" t="n">
        <v>47617</v>
      </c>
      <c r="B1446" s="16" t="s">
        <v>1375</v>
      </c>
      <c r="C1446" s="16" t="s">
        <v>136</v>
      </c>
      <c r="D1446" s="16" t="s">
        <v>137</v>
      </c>
      <c r="E1446" s="6" t="n">
        <v>1000</v>
      </c>
      <c r="F1446" s="7" t="n">
        <v>14</v>
      </c>
      <c r="G1446" s="6" t="n">
        <v>36.15</v>
      </c>
      <c r="H1446" s="6" t="n">
        <v>66</v>
      </c>
      <c r="I1446" s="6" t="n">
        <v>506.1</v>
      </c>
      <c r="J1446" s="6" t="n">
        <v>440.1</v>
      </c>
    </row>
    <row collapsed="false" customFormat="false" customHeight="false" hidden="false" ht="12.1" outlineLevel="0" r="1447">
      <c r="A1447" s="35" t="n">
        <v>47617</v>
      </c>
      <c r="B1447" s="16" t="s">
        <v>1375</v>
      </c>
      <c r="C1447" s="16" t="s">
        <v>139</v>
      </c>
      <c r="D1447" s="16" t="s">
        <v>140</v>
      </c>
      <c r="E1447" s="6" t="n">
        <v>1242.73</v>
      </c>
      <c r="F1447" s="7" t="n">
        <v>6</v>
      </c>
      <c r="G1447" s="6" t="n">
        <v>15.55</v>
      </c>
      <c r="H1447" s="6" t="n">
        <v>12</v>
      </c>
      <c r="I1447" s="6" t="n">
        <v>93.3</v>
      </c>
      <c r="J1447" s="6" t="n">
        <v>81.3</v>
      </c>
    </row>
    <row collapsed="false" customFormat="false" customHeight="false" hidden="false" ht="12.1" outlineLevel="0" r="1448">
      <c r="A1448" s="35" t="n">
        <v>47624</v>
      </c>
      <c r="B1448" s="16" t="s">
        <v>1375</v>
      </c>
      <c r="C1448" s="16" t="s">
        <v>118</v>
      </c>
      <c r="D1448" s="16" t="s">
        <v>119</v>
      </c>
      <c r="E1448" s="6" t="n">
        <v>1000</v>
      </c>
      <c r="F1448" s="7" t="n">
        <v>14</v>
      </c>
      <c r="G1448" s="6" t="n">
        <v>47.37</v>
      </c>
      <c r="H1448" s="6" t="n">
        <v>86</v>
      </c>
      <c r="I1448" s="6" t="n">
        <v>663.18</v>
      </c>
      <c r="J1448" s="6" t="n">
        <v>577.18</v>
      </c>
    </row>
    <row collapsed="false" customFormat="false" customHeight="false" hidden="false" ht="12.1" outlineLevel="0" r="1449">
      <c r="A1449" s="35" t="n">
        <v>47624</v>
      </c>
      <c r="B1449" s="16" t="s">
        <v>1375</v>
      </c>
      <c r="C1449" s="16" t="s">
        <v>115</v>
      </c>
      <c r="D1449" s="16" t="s">
        <v>116</v>
      </c>
      <c r="E1449" s="6" t="n">
        <v>1000</v>
      </c>
      <c r="F1449" s="7" t="n">
        <v>13</v>
      </c>
      <c r="G1449" s="6" t="n">
        <v>61.08</v>
      </c>
      <c r="H1449" s="6" t="n">
        <v>103</v>
      </c>
      <c r="I1449" s="6" t="n">
        <v>794.04</v>
      </c>
      <c r="J1449" s="6" t="n">
        <v>691.04</v>
      </c>
    </row>
    <row collapsed="false" customFormat="false" customHeight="false" hidden="false" ht="12.1" outlineLevel="0" r="1450">
      <c r="A1450" s="35" t="n">
        <v>47631</v>
      </c>
      <c r="B1450" s="16" t="s">
        <v>1375</v>
      </c>
      <c r="C1450" s="16" t="s">
        <v>91</v>
      </c>
      <c r="D1450" s="16" t="s">
        <v>92</v>
      </c>
      <c r="E1450" s="6" t="n">
        <v>1000</v>
      </c>
      <c r="F1450" s="7" t="n">
        <v>19</v>
      </c>
      <c r="G1450" s="6" t="n">
        <v>48.87</v>
      </c>
      <c r="H1450" s="6" t="n">
        <v>121</v>
      </c>
      <c r="I1450" s="6" t="n">
        <v>928.53</v>
      </c>
      <c r="J1450" s="6" t="n">
        <v>807.53</v>
      </c>
    </row>
    <row collapsed="false" customFormat="false" customHeight="false" hidden="false" ht="12.1" outlineLevel="0" r="1451">
      <c r="A1451" s="35" t="n">
        <v>47631</v>
      </c>
      <c r="B1451" s="16" t="s">
        <v>1375</v>
      </c>
      <c r="C1451" s="16" t="s">
        <v>94</v>
      </c>
      <c r="D1451" s="16" t="s">
        <v>95</v>
      </c>
      <c r="E1451" s="6" t="n">
        <v>1000</v>
      </c>
      <c r="F1451" s="7" t="n">
        <v>23</v>
      </c>
      <c r="G1451" s="6" t="n">
        <v>35.4</v>
      </c>
      <c r="H1451" s="6" t="n">
        <v>106</v>
      </c>
      <c r="I1451" s="6" t="n">
        <v>814.2</v>
      </c>
      <c r="J1451" s="6" t="n">
        <v>708.2</v>
      </c>
    </row>
    <row collapsed="false" customFormat="false" customHeight="false" hidden="false" ht="12.1" outlineLevel="0" r="1452">
      <c r="A1452" s="35" t="n">
        <v>47631</v>
      </c>
      <c r="B1452" s="16" t="s">
        <v>1375</v>
      </c>
      <c r="C1452" s="16" t="s">
        <v>100</v>
      </c>
      <c r="D1452" s="16" t="s">
        <v>101</v>
      </c>
      <c r="E1452" s="6" t="n">
        <v>1000</v>
      </c>
      <c r="F1452" s="7" t="n">
        <v>14</v>
      </c>
      <c r="G1452" s="6" t="n">
        <v>61.08</v>
      </c>
      <c r="H1452" s="6" t="n">
        <v>111</v>
      </c>
      <c r="I1452" s="6" t="n">
        <v>855.12</v>
      </c>
      <c r="J1452" s="6" t="n">
        <v>744.12</v>
      </c>
    </row>
    <row collapsed="false" customFormat="false" customHeight="false" hidden="false" ht="12.1" outlineLevel="0" r="1453">
      <c r="A1453" s="35" t="n">
        <v>47645</v>
      </c>
      <c r="B1453" s="16" t="s">
        <v>1375</v>
      </c>
      <c r="C1453" s="16" t="s">
        <v>88</v>
      </c>
      <c r="D1453" s="16" t="s">
        <v>89</v>
      </c>
      <c r="E1453" s="6" t="n">
        <v>1000</v>
      </c>
      <c r="F1453" s="7" t="n">
        <v>14</v>
      </c>
      <c r="G1453" s="6" t="n">
        <v>95.44</v>
      </c>
      <c r="H1453" s="6" t="n">
        <v>174</v>
      </c>
      <c r="I1453" s="6" t="n">
        <v>1336.16</v>
      </c>
      <c r="J1453" s="6" t="n">
        <v>1162.16</v>
      </c>
    </row>
    <row collapsed="false" customFormat="false" customHeight="false" hidden="false" ht="12.1" outlineLevel="0" r="1454">
      <c r="A1454" s="35" t="n">
        <v>47652</v>
      </c>
      <c r="B1454" s="16" t="s">
        <v>1375</v>
      </c>
      <c r="C1454" s="16" t="s">
        <v>148</v>
      </c>
      <c r="D1454" s="16" t="s">
        <v>149</v>
      </c>
      <c r="E1454" s="6" t="n">
        <v>1000</v>
      </c>
      <c r="F1454" s="7" t="n">
        <v>6</v>
      </c>
      <c r="G1454" s="6" t="n">
        <v>54.85</v>
      </c>
      <c r="H1454" s="6" t="n">
        <v>43</v>
      </c>
      <c r="I1454" s="6" t="n">
        <v>329.1</v>
      </c>
      <c r="J1454" s="6" t="n">
        <v>286.1</v>
      </c>
    </row>
    <row collapsed="false" customFormat="false" customHeight="false" hidden="false" ht="12.1" outlineLevel="0" r="1455">
      <c r="A1455" s="35" t="n">
        <v>47652</v>
      </c>
      <c r="B1455" s="16" t="s">
        <v>1375</v>
      </c>
      <c r="C1455" s="16" t="s">
        <v>145</v>
      </c>
      <c r="D1455" s="16" t="s">
        <v>146</v>
      </c>
      <c r="E1455" s="6" t="n">
        <v>1000</v>
      </c>
      <c r="F1455" s="7" t="n">
        <v>6</v>
      </c>
      <c r="G1455" s="6" t="n">
        <v>59.84</v>
      </c>
      <c r="H1455" s="6" t="n">
        <v>47</v>
      </c>
      <c r="I1455" s="6" t="n">
        <v>359.04</v>
      </c>
      <c r="J1455" s="6" t="n">
        <v>312.04</v>
      </c>
    </row>
    <row collapsed="false" customFormat="false" customHeight="false" hidden="false" ht="12.1" outlineLevel="0" r="1456">
      <c r="A1456" s="35" t="n">
        <v>47687</v>
      </c>
      <c r="B1456" s="16" t="s">
        <v>1375</v>
      </c>
      <c r="C1456" s="16" t="s">
        <v>154</v>
      </c>
      <c r="D1456" s="16" t="s">
        <v>155</v>
      </c>
      <c r="E1456" s="6" t="n">
        <v>1000</v>
      </c>
      <c r="F1456" s="7" t="n">
        <v>6</v>
      </c>
      <c r="G1456" s="6" t="n">
        <v>34.41</v>
      </c>
      <c r="H1456" s="6" t="n">
        <v>27</v>
      </c>
      <c r="I1456" s="6" t="n">
        <v>206.46</v>
      </c>
      <c r="J1456" s="6" t="n">
        <v>179.46</v>
      </c>
    </row>
    <row collapsed="false" customFormat="false" customHeight="false" hidden="false" ht="12.1" outlineLevel="0" r="1457">
      <c r="A1457" s="35" t="n">
        <v>47687</v>
      </c>
      <c r="B1457" s="16" t="s">
        <v>1375</v>
      </c>
      <c r="C1457" s="16" t="s">
        <v>84</v>
      </c>
      <c r="D1457" s="16" t="s">
        <v>86</v>
      </c>
      <c r="E1457" s="6" t="n">
        <v>1000</v>
      </c>
      <c r="F1457" s="7" t="n">
        <v>34</v>
      </c>
      <c r="G1457" s="6" t="n">
        <v>30.42</v>
      </c>
      <c r="H1457" s="6" t="n">
        <v>134</v>
      </c>
      <c r="I1457" s="6" t="n">
        <v>1034.28</v>
      </c>
      <c r="J1457" s="6" t="n">
        <v>900.28</v>
      </c>
    </row>
    <row collapsed="false" customFormat="false" customHeight="false" hidden="false" ht="12.1" outlineLevel="0" r="1458">
      <c r="A1458" s="35" t="n">
        <v>47701</v>
      </c>
      <c r="B1458" s="16" t="s">
        <v>1375</v>
      </c>
      <c r="C1458" s="16" t="s">
        <v>112</v>
      </c>
      <c r="D1458" s="16" t="s">
        <v>113</v>
      </c>
      <c r="E1458" s="6" t="n">
        <v>1000</v>
      </c>
      <c r="F1458" s="7" t="n">
        <v>19</v>
      </c>
      <c r="G1458" s="6" t="n">
        <v>34.9</v>
      </c>
      <c r="H1458" s="6" t="n">
        <v>86</v>
      </c>
      <c r="I1458" s="6" t="n">
        <v>663.1</v>
      </c>
      <c r="J1458" s="6" t="n">
        <v>577.1</v>
      </c>
    </row>
    <row collapsed="false" customFormat="false" customHeight="false" hidden="false" ht="12.1" outlineLevel="0" r="1459">
      <c r="A1459" s="35" t="n">
        <v>47736</v>
      </c>
      <c r="B1459" s="16" t="s">
        <v>1375</v>
      </c>
      <c r="C1459" s="16" t="s">
        <v>103</v>
      </c>
      <c r="D1459" s="16" t="s">
        <v>104</v>
      </c>
      <c r="E1459" s="6" t="n">
        <v>1000</v>
      </c>
      <c r="F1459" s="7" t="n">
        <v>17</v>
      </c>
      <c r="G1459" s="6" t="n">
        <v>29.42</v>
      </c>
      <c r="H1459" s="6" t="n">
        <v>65</v>
      </c>
      <c r="I1459" s="6" t="n">
        <v>500.14</v>
      </c>
      <c r="J1459" s="6" t="n">
        <v>435.14</v>
      </c>
    </row>
    <row collapsed="false" customFormat="false" customHeight="false" hidden="false" ht="12.1" outlineLevel="0" r="1460">
      <c r="A1460" s="35" t="n">
        <v>47743</v>
      </c>
      <c r="B1460" s="16" t="s">
        <v>1375</v>
      </c>
      <c r="C1460" s="16" t="s">
        <v>130</v>
      </c>
      <c r="D1460" s="16" t="s">
        <v>131</v>
      </c>
      <c r="E1460" s="6" t="n">
        <v>1000</v>
      </c>
      <c r="F1460" s="7" t="n">
        <v>11</v>
      </c>
      <c r="G1460" s="6" t="n">
        <v>56.1</v>
      </c>
      <c r="H1460" s="6" t="n">
        <v>80</v>
      </c>
      <c r="I1460" s="6" t="n">
        <v>617.1</v>
      </c>
      <c r="J1460" s="6" t="n">
        <v>537.1</v>
      </c>
    </row>
    <row collapsed="false" customFormat="false" customHeight="false" hidden="false" ht="12.1" outlineLevel="0" r="1461">
      <c r="A1461" s="35" t="n">
        <v>47743</v>
      </c>
      <c r="B1461" s="16" t="s">
        <v>1375</v>
      </c>
      <c r="C1461" s="16" t="s">
        <v>157</v>
      </c>
      <c r="D1461" s="16" t="s">
        <v>158</v>
      </c>
      <c r="E1461" s="6" t="n">
        <v>1448.61</v>
      </c>
      <c r="F1461" s="7" t="n">
        <v>4</v>
      </c>
      <c r="G1461" s="6" t="n">
        <v>18.13</v>
      </c>
      <c r="H1461" s="6" t="n">
        <v>9</v>
      </c>
      <c r="I1461" s="6" t="n">
        <v>72.52</v>
      </c>
      <c r="J1461" s="6" t="n">
        <v>63.52</v>
      </c>
    </row>
    <row collapsed="false" customFormat="false" customHeight="false" hidden="false" ht="12.1" outlineLevel="0" r="1462">
      <c r="A1462" s="35" t="n">
        <v>47743</v>
      </c>
      <c r="B1462" s="16" t="s">
        <v>1375</v>
      </c>
      <c r="C1462" s="16" t="s">
        <v>133</v>
      </c>
      <c r="D1462" s="16" t="s">
        <v>134</v>
      </c>
      <c r="E1462" s="6" t="n">
        <v>1000</v>
      </c>
      <c r="F1462" s="7" t="n">
        <v>12</v>
      </c>
      <c r="G1462" s="6" t="n">
        <v>42.38</v>
      </c>
      <c r="H1462" s="6" t="n">
        <v>66</v>
      </c>
      <c r="I1462" s="6" t="n">
        <v>508.56</v>
      </c>
      <c r="J1462" s="6" t="n">
        <v>442.56</v>
      </c>
    </row>
    <row collapsed="false" customFormat="false" customHeight="false" hidden="false" ht="12.1" outlineLevel="0" r="1463">
      <c r="A1463" s="35" t="n">
        <v>47743</v>
      </c>
      <c r="B1463" s="16" t="s">
        <v>1375</v>
      </c>
      <c r="C1463" s="16" t="s">
        <v>97</v>
      </c>
      <c r="D1463" s="16" t="s">
        <v>98</v>
      </c>
      <c r="E1463" s="6" t="n">
        <v>1000</v>
      </c>
      <c r="F1463" s="7" t="n">
        <v>14</v>
      </c>
      <c r="G1463" s="6" t="n">
        <v>59.84</v>
      </c>
      <c r="H1463" s="6" t="n">
        <v>109</v>
      </c>
      <c r="I1463" s="6" t="n">
        <v>837.76</v>
      </c>
      <c r="J1463" s="6" t="n">
        <v>728.76</v>
      </c>
    </row>
    <row collapsed="false" customFormat="false" customHeight="false" hidden="false" ht="12.1" outlineLevel="0" r="1464">
      <c r="A1464" s="35" t="n">
        <v>47750</v>
      </c>
      <c r="B1464" s="16" t="s">
        <v>1375</v>
      </c>
      <c r="C1464" s="16" t="s">
        <v>127</v>
      </c>
      <c r="D1464" s="16" t="s">
        <v>128</v>
      </c>
      <c r="E1464" s="6" t="n">
        <v>1000</v>
      </c>
      <c r="F1464" s="7" t="n">
        <v>14</v>
      </c>
      <c r="G1464" s="6" t="n">
        <v>38.39</v>
      </c>
      <c r="H1464" s="6" t="n">
        <v>70</v>
      </c>
      <c r="I1464" s="6" t="n">
        <v>537.46</v>
      </c>
      <c r="J1464" s="6" t="n">
        <v>467.46</v>
      </c>
    </row>
    <row collapsed="false" customFormat="false" customHeight="false" hidden="false" ht="12.1" outlineLevel="0" r="1465">
      <c r="A1465" s="35" t="n">
        <v>47750</v>
      </c>
      <c r="B1465" s="16" t="s">
        <v>1375</v>
      </c>
      <c r="C1465" s="16" t="s">
        <v>106</v>
      </c>
      <c r="D1465" s="16" t="s">
        <v>107</v>
      </c>
      <c r="E1465" s="6" t="n">
        <v>1000</v>
      </c>
      <c r="F1465" s="7" t="n">
        <v>18</v>
      </c>
      <c r="G1465" s="6" t="n">
        <v>38.39</v>
      </c>
      <c r="H1465" s="6" t="n">
        <v>90</v>
      </c>
      <c r="I1465" s="6" t="n">
        <v>691.02</v>
      </c>
      <c r="J1465" s="6" t="n">
        <v>601.02</v>
      </c>
    </row>
    <row collapsed="false" customFormat="false" customHeight="false" hidden="false" ht="12.1" outlineLevel="0" r="1466">
      <c r="A1466" s="35" t="n">
        <v>47757</v>
      </c>
      <c r="B1466" s="16" t="s">
        <v>1375</v>
      </c>
      <c r="C1466" s="16" t="s">
        <v>121</v>
      </c>
      <c r="D1466" s="16" t="s">
        <v>122</v>
      </c>
      <c r="E1466" s="6" t="n">
        <v>1000</v>
      </c>
      <c r="F1466" s="7" t="n">
        <v>12</v>
      </c>
      <c r="G1466" s="6" t="n">
        <v>59.84</v>
      </c>
      <c r="H1466" s="6" t="n">
        <v>93</v>
      </c>
      <c r="I1466" s="6" t="n">
        <v>718.08</v>
      </c>
      <c r="J1466" s="6" t="n">
        <v>625.08</v>
      </c>
    </row>
    <row collapsed="false" customFormat="false" customHeight="false" hidden="false" ht="12.1" outlineLevel="0" r="1467">
      <c r="A1467" s="35" t="n">
        <v>47771</v>
      </c>
      <c r="B1467" s="16" t="s">
        <v>1375</v>
      </c>
      <c r="C1467" s="16" t="s">
        <v>208</v>
      </c>
      <c r="D1467" s="16" t="s">
        <v>209</v>
      </c>
      <c r="E1467" s="6" t="n">
        <v>1000</v>
      </c>
      <c r="F1467" s="7" t="n">
        <v>2</v>
      </c>
      <c r="G1467" s="6" t="n">
        <v>64.82</v>
      </c>
      <c r="H1467" s="6" t="n">
        <v>17</v>
      </c>
      <c r="I1467" s="6" t="n">
        <v>129.64</v>
      </c>
      <c r="J1467" s="6" t="n">
        <v>112.64</v>
      </c>
    </row>
    <row collapsed="false" customFormat="false" customHeight="false" hidden="false" ht="12.1" outlineLevel="0" r="1468">
      <c r="A1468" s="35" t="n">
        <v>47771</v>
      </c>
      <c r="B1468" s="16" t="s">
        <v>1375</v>
      </c>
      <c r="C1468" s="16" t="s">
        <v>205</v>
      </c>
      <c r="D1468" s="16" t="s">
        <v>206</v>
      </c>
      <c r="E1468" s="6" t="n">
        <v>1000</v>
      </c>
      <c r="F1468" s="7" t="n">
        <v>2</v>
      </c>
      <c r="G1468" s="6" t="n">
        <v>64.82</v>
      </c>
      <c r="H1468" s="6" t="n">
        <v>17</v>
      </c>
      <c r="I1468" s="6" t="n">
        <v>129.64</v>
      </c>
      <c r="J1468" s="6" t="n">
        <v>112.64</v>
      </c>
    </row>
    <row collapsed="false" customFormat="false" customHeight="false" hidden="false" ht="12.1" outlineLevel="0" r="1469">
      <c r="A1469" s="35" t="n">
        <v>47771</v>
      </c>
      <c r="B1469" s="16" t="s">
        <v>1375</v>
      </c>
      <c r="C1469" s="16" t="s">
        <v>169</v>
      </c>
      <c r="D1469" s="16" t="s">
        <v>170</v>
      </c>
      <c r="E1469" s="6" t="n">
        <v>1000</v>
      </c>
      <c r="F1469" s="7" t="n">
        <v>3</v>
      </c>
      <c r="G1469" s="6" t="n">
        <v>62.33</v>
      </c>
      <c r="H1469" s="6" t="n">
        <v>24</v>
      </c>
      <c r="I1469" s="6" t="n">
        <v>186.99</v>
      </c>
      <c r="J1469" s="6" t="n">
        <v>162.99</v>
      </c>
    </row>
    <row collapsed="false" customFormat="false" customHeight="false" hidden="false" ht="12.1" outlineLevel="0" r="1470">
      <c r="A1470" s="35" t="n">
        <v>47792</v>
      </c>
      <c r="B1470" s="16" t="s">
        <v>1375</v>
      </c>
      <c r="C1470" s="16" t="s">
        <v>109</v>
      </c>
      <c r="D1470" s="16" t="s">
        <v>110</v>
      </c>
      <c r="E1470" s="6" t="n">
        <v>1000</v>
      </c>
      <c r="F1470" s="7" t="n">
        <v>11</v>
      </c>
      <c r="G1470" s="6" t="n">
        <v>99.18</v>
      </c>
      <c r="H1470" s="6" t="n">
        <v>142</v>
      </c>
      <c r="I1470" s="6" t="n">
        <v>1090.98</v>
      </c>
      <c r="J1470" s="6" t="n">
        <v>948.98</v>
      </c>
    </row>
    <row collapsed="false" customFormat="false" customHeight="false" hidden="false" ht="12.1" outlineLevel="0" r="1471">
      <c r="A1471" s="35" t="n">
        <v>47799</v>
      </c>
      <c r="B1471" s="16" t="s">
        <v>1375</v>
      </c>
      <c r="C1471" s="16" t="s">
        <v>136</v>
      </c>
      <c r="D1471" s="16" t="s">
        <v>137</v>
      </c>
      <c r="E1471" s="6" t="n">
        <v>1000</v>
      </c>
      <c r="F1471" s="7" t="n">
        <v>14</v>
      </c>
      <c r="G1471" s="6" t="n">
        <v>36.15</v>
      </c>
      <c r="H1471" s="6" t="n">
        <v>66</v>
      </c>
      <c r="I1471" s="6" t="n">
        <v>506.1</v>
      </c>
      <c r="J1471" s="6" t="n">
        <v>440.1</v>
      </c>
    </row>
    <row collapsed="false" customFormat="false" customHeight="false" hidden="false" ht="12.1" outlineLevel="0" r="1472">
      <c r="A1472" s="35" t="n">
        <v>47799</v>
      </c>
      <c r="B1472" s="16" t="s">
        <v>1375</v>
      </c>
      <c r="C1472" s="16" t="s">
        <v>139</v>
      </c>
      <c r="D1472" s="16" t="s">
        <v>140</v>
      </c>
      <c r="E1472" s="6" t="n">
        <v>1242.73</v>
      </c>
      <c r="F1472" s="7" t="n">
        <v>6</v>
      </c>
      <c r="G1472" s="6" t="n">
        <v>15.55</v>
      </c>
      <c r="H1472" s="6" t="n">
        <v>12</v>
      </c>
      <c r="I1472" s="6" t="n">
        <v>93.3</v>
      </c>
      <c r="J1472" s="6" t="n">
        <v>81.3</v>
      </c>
    </row>
    <row collapsed="false" customFormat="false" customHeight="false" hidden="false" ht="12.1" outlineLevel="0" r="1473">
      <c r="A1473" s="35" t="n">
        <v>47806</v>
      </c>
      <c r="B1473" s="16" t="s">
        <v>1375</v>
      </c>
      <c r="C1473" s="16" t="s">
        <v>115</v>
      </c>
      <c r="D1473" s="16" t="s">
        <v>116</v>
      </c>
      <c r="E1473" s="6" t="n">
        <v>1000</v>
      </c>
      <c r="F1473" s="7" t="n">
        <v>13</v>
      </c>
      <c r="G1473" s="6" t="n">
        <v>61.08</v>
      </c>
      <c r="H1473" s="6" t="n">
        <v>103</v>
      </c>
      <c r="I1473" s="6" t="n">
        <v>794.04</v>
      </c>
      <c r="J1473" s="6" t="n">
        <v>691.04</v>
      </c>
    </row>
    <row collapsed="false" customFormat="false" customHeight="false" hidden="false" ht="12.1" outlineLevel="0" r="1474">
      <c r="A1474" s="35" t="n">
        <v>47806</v>
      </c>
      <c r="B1474" s="16" t="s">
        <v>1375</v>
      </c>
      <c r="C1474" s="16" t="s">
        <v>118</v>
      </c>
      <c r="D1474" s="16" t="s">
        <v>119</v>
      </c>
      <c r="E1474" s="6" t="n">
        <v>1000</v>
      </c>
      <c r="F1474" s="7" t="n">
        <v>14</v>
      </c>
      <c r="G1474" s="6" t="n">
        <v>47.37</v>
      </c>
      <c r="H1474" s="6" t="n">
        <v>86</v>
      </c>
      <c r="I1474" s="6" t="n">
        <v>663.18</v>
      </c>
      <c r="J1474" s="6" t="n">
        <v>577.18</v>
      </c>
    </row>
    <row collapsed="false" customFormat="false" customHeight="false" hidden="false" ht="12.1" outlineLevel="0" r="1475">
      <c r="A1475" s="35" t="n">
        <v>47813</v>
      </c>
      <c r="B1475" s="16" t="s">
        <v>1375</v>
      </c>
      <c r="C1475" s="16" t="s">
        <v>91</v>
      </c>
      <c r="D1475" s="16" t="s">
        <v>92</v>
      </c>
      <c r="E1475" s="6" t="n">
        <v>1000</v>
      </c>
      <c r="F1475" s="7" t="n">
        <v>19</v>
      </c>
      <c r="G1475" s="6" t="n">
        <v>48.87</v>
      </c>
      <c r="H1475" s="6" t="n">
        <v>121</v>
      </c>
      <c r="I1475" s="6" t="n">
        <v>928.53</v>
      </c>
      <c r="J1475" s="6" t="n">
        <v>807.53</v>
      </c>
    </row>
    <row collapsed="false" customFormat="false" customHeight="false" hidden="false" ht="12.1" outlineLevel="0" r="1476">
      <c r="A1476" s="35" t="n">
        <v>47813</v>
      </c>
      <c r="B1476" s="16" t="s">
        <v>1375</v>
      </c>
      <c r="C1476" s="16" t="s">
        <v>94</v>
      </c>
      <c r="D1476" s="16" t="s">
        <v>95</v>
      </c>
      <c r="E1476" s="6" t="n">
        <v>1000</v>
      </c>
      <c r="F1476" s="7" t="n">
        <v>23</v>
      </c>
      <c r="G1476" s="6" t="n">
        <v>35.4</v>
      </c>
      <c r="H1476" s="6" t="n">
        <v>106</v>
      </c>
      <c r="I1476" s="6" t="n">
        <v>814.2</v>
      </c>
      <c r="J1476" s="6" t="n">
        <v>708.2</v>
      </c>
    </row>
    <row collapsed="false" customFormat="false" customHeight="false" hidden="false" ht="12.1" outlineLevel="0" r="1477">
      <c r="A1477" s="35" t="n">
        <v>47813</v>
      </c>
      <c r="B1477" s="16" t="s">
        <v>1375</v>
      </c>
      <c r="C1477" s="16" t="s">
        <v>100</v>
      </c>
      <c r="D1477" s="16" t="s">
        <v>101</v>
      </c>
      <c r="E1477" s="6" t="n">
        <v>1000</v>
      </c>
      <c r="F1477" s="7" t="n">
        <v>14</v>
      </c>
      <c r="G1477" s="6" t="n">
        <v>61.08</v>
      </c>
      <c r="H1477" s="6" t="n">
        <v>111</v>
      </c>
      <c r="I1477" s="6" t="n">
        <v>855.12</v>
      </c>
      <c r="J1477" s="6" t="n">
        <v>744.12</v>
      </c>
    </row>
    <row collapsed="false" customFormat="false" customHeight="false" hidden="false" ht="12.1" outlineLevel="0" r="1478">
      <c r="A1478" s="35" t="n">
        <v>47827</v>
      </c>
      <c r="B1478" s="16" t="s">
        <v>1375</v>
      </c>
      <c r="C1478" s="16" t="s">
        <v>88</v>
      </c>
      <c r="D1478" s="16" t="s">
        <v>89</v>
      </c>
      <c r="E1478" s="6" t="n">
        <v>1000</v>
      </c>
      <c r="F1478" s="7" t="n">
        <v>14</v>
      </c>
      <c r="G1478" s="6" t="n">
        <v>95.44</v>
      </c>
      <c r="H1478" s="6" t="n">
        <v>174</v>
      </c>
      <c r="I1478" s="6" t="n">
        <v>1336.16</v>
      </c>
      <c r="J1478" s="6" t="n">
        <v>1162.16</v>
      </c>
    </row>
    <row collapsed="false" customFormat="false" customHeight="false" hidden="false" ht="12.1" outlineLevel="0" r="1479">
      <c r="A1479" s="35" t="n">
        <v>47834</v>
      </c>
      <c r="B1479" s="16" t="s">
        <v>1375</v>
      </c>
      <c r="C1479" s="16" t="s">
        <v>145</v>
      </c>
      <c r="D1479" s="16" t="s">
        <v>146</v>
      </c>
      <c r="E1479" s="6" t="n">
        <v>1000</v>
      </c>
      <c r="F1479" s="7" t="n">
        <v>6</v>
      </c>
      <c r="G1479" s="6" t="n">
        <v>59.84</v>
      </c>
      <c r="H1479" s="6" t="n">
        <v>47</v>
      </c>
      <c r="I1479" s="6" t="n">
        <v>359.04</v>
      </c>
      <c r="J1479" s="6" t="n">
        <v>312.04</v>
      </c>
    </row>
    <row collapsed="false" customFormat="false" customHeight="false" hidden="false" ht="12.1" outlineLevel="0" r="1480">
      <c r="A1480" s="35" t="n">
        <v>47834</v>
      </c>
      <c r="B1480" s="16" t="s">
        <v>1375</v>
      </c>
      <c r="C1480" s="16" t="s">
        <v>148</v>
      </c>
      <c r="D1480" s="16" t="s">
        <v>149</v>
      </c>
      <c r="E1480" s="6" t="n">
        <v>1000</v>
      </c>
      <c r="F1480" s="7" t="n">
        <v>6</v>
      </c>
      <c r="G1480" s="6" t="n">
        <v>54.85</v>
      </c>
      <c r="H1480" s="6" t="n">
        <v>43</v>
      </c>
      <c r="I1480" s="6" t="n">
        <v>329.1</v>
      </c>
      <c r="J1480" s="6" t="n">
        <v>286.1</v>
      </c>
    </row>
    <row collapsed="false" customFormat="false" customHeight="false" hidden="false" ht="12.1" outlineLevel="0" r="1481">
      <c r="A1481" s="35" t="n">
        <v>47869</v>
      </c>
      <c r="B1481" s="16" t="s">
        <v>1375</v>
      </c>
      <c r="C1481" s="16" t="s">
        <v>84</v>
      </c>
      <c r="D1481" s="16" t="s">
        <v>86</v>
      </c>
      <c r="E1481" s="6" t="n">
        <v>1000</v>
      </c>
      <c r="F1481" s="7" t="n">
        <v>34</v>
      </c>
      <c r="G1481" s="6" t="n">
        <v>30.42</v>
      </c>
      <c r="H1481" s="6" t="n">
        <v>134</v>
      </c>
      <c r="I1481" s="6" t="n">
        <v>1034.28</v>
      </c>
      <c r="J1481" s="6" t="n">
        <v>900.28</v>
      </c>
    </row>
    <row collapsed="false" customFormat="false" customHeight="false" hidden="false" ht="12.1" outlineLevel="0" r="1482">
      <c r="A1482" s="35" t="n">
        <v>47869</v>
      </c>
      <c r="B1482" s="16" t="s">
        <v>1375</v>
      </c>
      <c r="C1482" s="16" t="s">
        <v>154</v>
      </c>
      <c r="D1482" s="16" t="s">
        <v>155</v>
      </c>
      <c r="E1482" s="6" t="n">
        <v>1000</v>
      </c>
      <c r="F1482" s="7" t="n">
        <v>6</v>
      </c>
      <c r="G1482" s="6" t="n">
        <v>34.41</v>
      </c>
      <c r="H1482" s="6" t="n">
        <v>27</v>
      </c>
      <c r="I1482" s="6" t="n">
        <v>206.46</v>
      </c>
      <c r="J1482" s="6" t="n">
        <v>179.46</v>
      </c>
    </row>
    <row collapsed="false" customFormat="false" customHeight="false" hidden="false" ht="12.1" outlineLevel="0" r="1483">
      <c r="A1483" s="35" t="n">
        <v>47883</v>
      </c>
      <c r="B1483" s="16" t="s">
        <v>1375</v>
      </c>
      <c r="C1483" s="16" t="s">
        <v>112</v>
      </c>
      <c r="D1483" s="16" t="s">
        <v>113</v>
      </c>
      <c r="E1483" s="6" t="n">
        <v>1000</v>
      </c>
      <c r="F1483" s="7" t="n">
        <v>19</v>
      </c>
      <c r="G1483" s="6" t="n">
        <v>34.9</v>
      </c>
      <c r="H1483" s="6" t="n">
        <v>86</v>
      </c>
      <c r="I1483" s="6" t="n">
        <v>663.1</v>
      </c>
      <c r="J1483" s="6" t="n">
        <v>577.1</v>
      </c>
    </row>
    <row collapsed="false" customFormat="false" customHeight="false" hidden="false" ht="12.1" outlineLevel="0" r="1484">
      <c r="A1484" s="35" t="n">
        <v>47918</v>
      </c>
      <c r="B1484" s="16" t="s">
        <v>1375</v>
      </c>
      <c r="C1484" s="16" t="s">
        <v>103</v>
      </c>
      <c r="D1484" s="16" t="s">
        <v>104</v>
      </c>
      <c r="E1484" s="6" t="n">
        <v>1000</v>
      </c>
      <c r="F1484" s="7" t="n">
        <v>17</v>
      </c>
      <c r="G1484" s="6" t="n">
        <v>29.42</v>
      </c>
      <c r="H1484" s="6" t="n">
        <v>65</v>
      </c>
      <c r="I1484" s="6" t="n">
        <v>500.14</v>
      </c>
      <c r="J1484" s="6" t="n">
        <v>435.14</v>
      </c>
    </row>
    <row collapsed="false" customFormat="false" customHeight="false" hidden="false" ht="12.1" outlineLevel="0" r="1485">
      <c r="A1485" s="35" t="n">
        <v>47925</v>
      </c>
      <c r="B1485" s="16" t="s">
        <v>1375</v>
      </c>
      <c r="C1485" s="16" t="s">
        <v>97</v>
      </c>
      <c r="D1485" s="16" t="s">
        <v>98</v>
      </c>
      <c r="E1485" s="6" t="n">
        <v>1000</v>
      </c>
      <c r="F1485" s="7" t="n">
        <v>14</v>
      </c>
      <c r="G1485" s="6" t="n">
        <v>59.84</v>
      </c>
      <c r="H1485" s="6" t="n">
        <v>109</v>
      </c>
      <c r="I1485" s="6" t="n">
        <v>837.76</v>
      </c>
      <c r="J1485" s="6" t="n">
        <v>728.76</v>
      </c>
    </row>
    <row collapsed="false" customFormat="false" customHeight="false" hidden="false" ht="12.1" outlineLevel="0" r="1486">
      <c r="A1486" s="35" t="n">
        <v>47925</v>
      </c>
      <c r="B1486" s="16" t="s">
        <v>1375</v>
      </c>
      <c r="C1486" s="16" t="s">
        <v>133</v>
      </c>
      <c r="D1486" s="16" t="s">
        <v>134</v>
      </c>
      <c r="E1486" s="6" t="n">
        <v>1000</v>
      </c>
      <c r="F1486" s="7" t="n">
        <v>12</v>
      </c>
      <c r="G1486" s="6" t="n">
        <v>42.38</v>
      </c>
      <c r="H1486" s="6" t="n">
        <v>66</v>
      </c>
      <c r="I1486" s="6" t="n">
        <v>508.56</v>
      </c>
      <c r="J1486" s="6" t="n">
        <v>442.56</v>
      </c>
    </row>
    <row collapsed="false" customFormat="false" customHeight="false" hidden="false" ht="12.1" outlineLevel="0" r="1487">
      <c r="A1487" s="35" t="n">
        <v>47925</v>
      </c>
      <c r="B1487" s="16" t="s">
        <v>1375</v>
      </c>
      <c r="C1487" s="16" t="s">
        <v>130</v>
      </c>
      <c r="D1487" s="16" t="s">
        <v>131</v>
      </c>
      <c r="E1487" s="6" t="n">
        <v>1000</v>
      </c>
      <c r="F1487" s="7" t="n">
        <v>11</v>
      </c>
      <c r="G1487" s="6" t="n">
        <v>56.1</v>
      </c>
      <c r="H1487" s="6" t="n">
        <v>80</v>
      </c>
      <c r="I1487" s="6" t="n">
        <v>617.1</v>
      </c>
      <c r="J1487" s="6" t="n">
        <v>537.1</v>
      </c>
    </row>
    <row collapsed="false" customFormat="false" customHeight="false" hidden="false" ht="12.1" outlineLevel="0" r="1488">
      <c r="A1488" s="35" t="n">
        <v>47925</v>
      </c>
      <c r="B1488" s="16" t="s">
        <v>1375</v>
      </c>
      <c r="C1488" s="16" t="s">
        <v>157</v>
      </c>
      <c r="D1488" s="16" t="s">
        <v>158</v>
      </c>
      <c r="E1488" s="6" t="n">
        <v>1448.61</v>
      </c>
      <c r="F1488" s="7" t="n">
        <v>4</v>
      </c>
      <c r="G1488" s="6" t="n">
        <v>18.13</v>
      </c>
      <c r="H1488" s="6" t="n">
        <v>9</v>
      </c>
      <c r="I1488" s="6" t="n">
        <v>72.52</v>
      </c>
      <c r="J1488" s="6" t="n">
        <v>63.52</v>
      </c>
    </row>
    <row collapsed="false" customFormat="false" customHeight="false" hidden="false" ht="12.1" outlineLevel="0" r="1489">
      <c r="A1489" s="35" t="n">
        <v>47932</v>
      </c>
      <c r="B1489" s="16" t="s">
        <v>1375</v>
      </c>
      <c r="C1489" s="16" t="s">
        <v>127</v>
      </c>
      <c r="D1489" s="16" t="s">
        <v>128</v>
      </c>
      <c r="E1489" s="6" t="n">
        <v>1000</v>
      </c>
      <c r="F1489" s="7" t="n">
        <v>14</v>
      </c>
      <c r="G1489" s="6" t="n">
        <v>38.39</v>
      </c>
      <c r="H1489" s="6" t="n">
        <v>70</v>
      </c>
      <c r="I1489" s="6" t="n">
        <v>537.46</v>
      </c>
      <c r="J1489" s="6" t="n">
        <v>467.46</v>
      </c>
    </row>
    <row collapsed="false" customFormat="false" customHeight="false" hidden="false" ht="12.1" outlineLevel="0" r="1490">
      <c r="A1490" s="35" t="n">
        <v>47932</v>
      </c>
      <c r="B1490" s="16" t="s">
        <v>1375</v>
      </c>
      <c r="C1490" s="16" t="s">
        <v>106</v>
      </c>
      <c r="D1490" s="16" t="s">
        <v>107</v>
      </c>
      <c r="E1490" s="6" t="n">
        <v>1000</v>
      </c>
      <c r="F1490" s="7" t="n">
        <v>18</v>
      </c>
      <c r="G1490" s="6" t="n">
        <v>38.39</v>
      </c>
      <c r="H1490" s="6" t="n">
        <v>90</v>
      </c>
      <c r="I1490" s="6" t="n">
        <v>691.02</v>
      </c>
      <c r="J1490" s="6" t="n">
        <v>601.02</v>
      </c>
    </row>
    <row collapsed="false" customFormat="false" customHeight="false" hidden="false" ht="12.1" outlineLevel="0" r="1491">
      <c r="A1491" s="35" t="n">
        <v>47939</v>
      </c>
      <c r="B1491" s="16" t="s">
        <v>1375</v>
      </c>
      <c r="C1491" s="16" t="s">
        <v>121</v>
      </c>
      <c r="D1491" s="16" t="s">
        <v>122</v>
      </c>
      <c r="E1491" s="6" t="n">
        <v>1000</v>
      </c>
      <c r="F1491" s="7" t="n">
        <v>12</v>
      </c>
      <c r="G1491" s="6" t="n">
        <v>59.84</v>
      </c>
      <c r="H1491" s="6" t="n">
        <v>93</v>
      </c>
      <c r="I1491" s="6" t="n">
        <v>718.08</v>
      </c>
      <c r="J1491" s="6" t="n">
        <v>625.08</v>
      </c>
    </row>
    <row collapsed="false" customFormat="false" customHeight="false" hidden="false" ht="12.1" outlineLevel="0" r="1492">
      <c r="A1492" s="35" t="n">
        <v>47953</v>
      </c>
      <c r="B1492" s="16" t="s">
        <v>1375</v>
      </c>
      <c r="C1492" s="16" t="s">
        <v>205</v>
      </c>
      <c r="D1492" s="16" t="s">
        <v>206</v>
      </c>
      <c r="E1492" s="6" t="n">
        <v>1000</v>
      </c>
      <c r="F1492" s="7" t="n">
        <v>2</v>
      </c>
      <c r="G1492" s="6" t="n">
        <v>64.82</v>
      </c>
      <c r="H1492" s="6" t="n">
        <v>17</v>
      </c>
      <c r="I1492" s="6" t="n">
        <v>129.64</v>
      </c>
      <c r="J1492" s="6" t="n">
        <v>112.64</v>
      </c>
    </row>
    <row collapsed="false" customFormat="false" customHeight="false" hidden="false" ht="12.1" outlineLevel="0" r="1493">
      <c r="A1493" s="35" t="n">
        <v>47953</v>
      </c>
      <c r="B1493" s="16" t="s">
        <v>1375</v>
      </c>
      <c r="C1493" s="16" t="s">
        <v>208</v>
      </c>
      <c r="D1493" s="16" t="s">
        <v>209</v>
      </c>
      <c r="E1493" s="6" t="n">
        <v>1000</v>
      </c>
      <c r="F1493" s="7" t="n">
        <v>2</v>
      </c>
      <c r="G1493" s="6" t="n">
        <v>64.82</v>
      </c>
      <c r="H1493" s="6" t="n">
        <v>17</v>
      </c>
      <c r="I1493" s="6" t="n">
        <v>129.64</v>
      </c>
      <c r="J1493" s="6" t="n">
        <v>112.64</v>
      </c>
    </row>
    <row collapsed="false" customFormat="false" customHeight="false" hidden="false" ht="12.1" outlineLevel="0" r="1494">
      <c r="A1494" s="35" t="n">
        <v>47953</v>
      </c>
      <c r="B1494" s="16" t="s">
        <v>1375</v>
      </c>
      <c r="C1494" s="16" t="s">
        <v>169</v>
      </c>
      <c r="D1494" s="16" t="s">
        <v>170</v>
      </c>
      <c r="E1494" s="6" t="n">
        <v>1000</v>
      </c>
      <c r="F1494" s="7" t="n">
        <v>3</v>
      </c>
      <c r="G1494" s="6" t="n">
        <v>62.33</v>
      </c>
      <c r="H1494" s="6" t="n">
        <v>24</v>
      </c>
      <c r="I1494" s="6" t="n">
        <v>186.99</v>
      </c>
      <c r="J1494" s="6" t="n">
        <v>162.99</v>
      </c>
    </row>
    <row collapsed="false" customFormat="false" customHeight="false" hidden="false" ht="12.1" outlineLevel="0" r="1495">
      <c r="A1495" s="35" t="n">
        <v>47974</v>
      </c>
      <c r="B1495" s="16" t="s">
        <v>1375</v>
      </c>
      <c r="C1495" s="16" t="s">
        <v>109</v>
      </c>
      <c r="D1495" s="16" t="s">
        <v>110</v>
      </c>
      <c r="E1495" s="6" t="n">
        <v>1000</v>
      </c>
      <c r="F1495" s="7" t="n">
        <v>11</v>
      </c>
      <c r="G1495" s="6" t="n">
        <v>99.18</v>
      </c>
      <c r="H1495" s="6" t="n">
        <v>142</v>
      </c>
      <c r="I1495" s="6" t="n">
        <v>1090.98</v>
      </c>
      <c r="J1495" s="6" t="n">
        <v>948.98</v>
      </c>
    </row>
    <row collapsed="false" customFormat="false" customHeight="false" hidden="false" ht="12.1" outlineLevel="0" r="1496">
      <c r="A1496" s="35" t="n">
        <v>47981</v>
      </c>
      <c r="B1496" s="16" t="s">
        <v>1375</v>
      </c>
      <c r="C1496" s="16" t="s">
        <v>136</v>
      </c>
      <c r="D1496" s="16" t="s">
        <v>137</v>
      </c>
      <c r="E1496" s="6" t="n">
        <v>1000</v>
      </c>
      <c r="F1496" s="7" t="n">
        <v>14</v>
      </c>
      <c r="G1496" s="6" t="n">
        <v>36.15</v>
      </c>
      <c r="H1496" s="6" t="n">
        <v>66</v>
      </c>
      <c r="I1496" s="6" t="n">
        <v>506.1</v>
      </c>
      <c r="J1496" s="6" t="n">
        <v>440.1</v>
      </c>
    </row>
    <row collapsed="false" customFormat="false" customHeight="false" hidden="false" ht="12.1" outlineLevel="0" r="1497">
      <c r="A1497" s="35" t="n">
        <v>47981</v>
      </c>
      <c r="B1497" s="16" t="s">
        <v>1375</v>
      </c>
      <c r="C1497" s="16" t="s">
        <v>139</v>
      </c>
      <c r="D1497" s="16" t="s">
        <v>140</v>
      </c>
      <c r="E1497" s="6" t="n">
        <v>1242.73</v>
      </c>
      <c r="F1497" s="7" t="n">
        <v>6</v>
      </c>
      <c r="G1497" s="6" t="n">
        <v>15.55</v>
      </c>
      <c r="H1497" s="6" t="n">
        <v>12</v>
      </c>
      <c r="I1497" s="6" t="n">
        <v>93.3</v>
      </c>
      <c r="J1497" s="6" t="n">
        <v>81.3</v>
      </c>
    </row>
    <row collapsed="false" customFormat="false" customHeight="false" hidden="false" ht="12.1" outlineLevel="0" r="1498">
      <c r="A1498" s="35" t="n">
        <v>47988</v>
      </c>
      <c r="B1498" s="16" t="s">
        <v>1375</v>
      </c>
      <c r="C1498" s="16" t="s">
        <v>115</v>
      </c>
      <c r="D1498" s="16" t="s">
        <v>116</v>
      </c>
      <c r="E1498" s="6" t="n">
        <v>1000</v>
      </c>
      <c r="F1498" s="7" t="n">
        <v>13</v>
      </c>
      <c r="G1498" s="6" t="n">
        <v>61.08</v>
      </c>
      <c r="H1498" s="6" t="n">
        <v>103</v>
      </c>
      <c r="I1498" s="6" t="n">
        <v>794.04</v>
      </c>
      <c r="J1498" s="6" t="n">
        <v>691.04</v>
      </c>
    </row>
    <row collapsed="false" customFormat="false" customHeight="false" hidden="false" ht="12.1" outlineLevel="0" r="1499">
      <c r="A1499" s="35" t="n">
        <v>47988</v>
      </c>
      <c r="B1499" s="16" t="s">
        <v>1375</v>
      </c>
      <c r="C1499" s="16" t="s">
        <v>118</v>
      </c>
      <c r="D1499" s="16" t="s">
        <v>119</v>
      </c>
      <c r="E1499" s="6" t="n">
        <v>1000</v>
      </c>
      <c r="F1499" s="7" t="n">
        <v>14</v>
      </c>
      <c r="G1499" s="6" t="n">
        <v>47.37</v>
      </c>
      <c r="H1499" s="6" t="n">
        <v>86</v>
      </c>
      <c r="I1499" s="6" t="n">
        <v>663.18</v>
      </c>
      <c r="J1499" s="6" t="n">
        <v>577.18</v>
      </c>
    </row>
    <row collapsed="false" customFormat="false" customHeight="false" hidden="false" ht="12.1" outlineLevel="0" r="1500">
      <c r="A1500" s="35" t="n">
        <v>47995</v>
      </c>
      <c r="B1500" s="16" t="s">
        <v>1375</v>
      </c>
      <c r="C1500" s="16" t="s">
        <v>100</v>
      </c>
      <c r="D1500" s="16" t="s">
        <v>101</v>
      </c>
      <c r="E1500" s="6" t="n">
        <v>1000</v>
      </c>
      <c r="F1500" s="7" t="n">
        <v>14</v>
      </c>
      <c r="G1500" s="6" t="n">
        <v>61.08</v>
      </c>
      <c r="H1500" s="6" t="n">
        <v>111</v>
      </c>
      <c r="I1500" s="6" t="n">
        <v>855.12</v>
      </c>
      <c r="J1500" s="6" t="n">
        <v>744.12</v>
      </c>
    </row>
    <row collapsed="false" customFormat="false" customHeight="false" hidden="false" ht="12.1" outlineLevel="0" r="1501">
      <c r="A1501" s="35" t="n">
        <v>47995</v>
      </c>
      <c r="B1501" s="16" t="s">
        <v>1375</v>
      </c>
      <c r="C1501" s="16" t="s">
        <v>94</v>
      </c>
      <c r="D1501" s="16" t="s">
        <v>95</v>
      </c>
      <c r="E1501" s="6" t="n">
        <v>1000</v>
      </c>
      <c r="F1501" s="7" t="n">
        <v>23</v>
      </c>
      <c r="G1501" s="6" t="n">
        <v>35.4</v>
      </c>
      <c r="H1501" s="6" t="n">
        <v>106</v>
      </c>
      <c r="I1501" s="6" t="n">
        <v>814.2</v>
      </c>
      <c r="J1501" s="6" t="n">
        <v>708.2</v>
      </c>
    </row>
    <row collapsed="false" customFormat="false" customHeight="false" hidden="false" ht="12.1" outlineLevel="0" r="1502">
      <c r="A1502" s="35" t="n">
        <v>47995</v>
      </c>
      <c r="B1502" s="16" t="s">
        <v>1375</v>
      </c>
      <c r="C1502" s="16" t="s">
        <v>91</v>
      </c>
      <c r="D1502" s="16" t="s">
        <v>92</v>
      </c>
      <c r="E1502" s="6" t="n">
        <v>1000</v>
      </c>
      <c r="F1502" s="7" t="n">
        <v>19</v>
      </c>
      <c r="G1502" s="6" t="n">
        <v>48.87</v>
      </c>
      <c r="H1502" s="6" t="n">
        <v>121</v>
      </c>
      <c r="I1502" s="6" t="n">
        <v>928.53</v>
      </c>
      <c r="J1502" s="6" t="n">
        <v>807.53</v>
      </c>
    </row>
    <row collapsed="false" customFormat="false" customHeight="false" hidden="false" ht="12.1" outlineLevel="0" r="1503">
      <c r="A1503" s="35" t="n">
        <v>48009</v>
      </c>
      <c r="B1503" s="16" t="s">
        <v>1375</v>
      </c>
      <c r="C1503" s="16" t="s">
        <v>88</v>
      </c>
      <c r="D1503" s="16" t="s">
        <v>89</v>
      </c>
      <c r="E1503" s="6" t="n">
        <v>1000</v>
      </c>
      <c r="F1503" s="7" t="n">
        <v>14</v>
      </c>
      <c r="G1503" s="6" t="n">
        <v>95.44</v>
      </c>
      <c r="H1503" s="6" t="n">
        <v>174</v>
      </c>
      <c r="I1503" s="6" t="n">
        <v>1336.16</v>
      </c>
      <c r="J1503" s="6" t="n">
        <v>1162.16</v>
      </c>
    </row>
    <row collapsed="false" customFormat="false" customHeight="false" hidden="false" ht="12.1" outlineLevel="0" r="1504">
      <c r="A1504" s="35" t="n">
        <v>48016</v>
      </c>
      <c r="B1504" s="16" t="s">
        <v>1375</v>
      </c>
      <c r="C1504" s="16" t="s">
        <v>148</v>
      </c>
      <c r="D1504" s="16" t="s">
        <v>149</v>
      </c>
      <c r="E1504" s="6" t="n">
        <v>1000</v>
      </c>
      <c r="F1504" s="7" t="n">
        <v>6</v>
      </c>
      <c r="G1504" s="6" t="n">
        <v>54.85</v>
      </c>
      <c r="H1504" s="6" t="n">
        <v>43</v>
      </c>
      <c r="I1504" s="6" t="n">
        <v>329.1</v>
      </c>
      <c r="J1504" s="6" t="n">
        <v>286.1</v>
      </c>
    </row>
    <row collapsed="false" customFormat="false" customHeight="false" hidden="false" ht="12.1" outlineLevel="0" r="1505">
      <c r="A1505" s="35" t="n">
        <v>48016</v>
      </c>
      <c r="B1505" s="16" t="s">
        <v>1375</v>
      </c>
      <c r="C1505" s="16" t="s">
        <v>145</v>
      </c>
      <c r="D1505" s="16" t="s">
        <v>146</v>
      </c>
      <c r="E1505" s="6" t="n">
        <v>1000</v>
      </c>
      <c r="F1505" s="7" t="n">
        <v>6</v>
      </c>
      <c r="G1505" s="6" t="n">
        <v>59.84</v>
      </c>
      <c r="H1505" s="6" t="n">
        <v>47</v>
      </c>
      <c r="I1505" s="6" t="n">
        <v>359.04</v>
      </c>
      <c r="J1505" s="6" t="n">
        <v>312.04</v>
      </c>
    </row>
    <row collapsed="false" customFormat="false" customHeight="false" hidden="false" ht="12.1" outlineLevel="0" r="1506">
      <c r="A1506" s="35" t="n">
        <v>48051</v>
      </c>
      <c r="B1506" s="16" t="s">
        <v>1375</v>
      </c>
      <c r="C1506" s="16" t="s">
        <v>154</v>
      </c>
      <c r="D1506" s="16" t="s">
        <v>155</v>
      </c>
      <c r="E1506" s="6" t="n">
        <v>1000</v>
      </c>
      <c r="F1506" s="7" t="n">
        <v>6</v>
      </c>
      <c r="G1506" s="6" t="n">
        <v>34.41</v>
      </c>
      <c r="H1506" s="6" t="n">
        <v>27</v>
      </c>
      <c r="I1506" s="6" t="n">
        <v>206.46</v>
      </c>
      <c r="J1506" s="6" t="n">
        <v>179.46</v>
      </c>
    </row>
    <row collapsed="false" customFormat="false" customHeight="false" hidden="false" ht="12.1" outlineLevel="0" r="1507">
      <c r="A1507" s="35" t="n">
        <v>48051</v>
      </c>
      <c r="B1507" s="16" t="s">
        <v>1375</v>
      </c>
      <c r="C1507" s="16" t="s">
        <v>84</v>
      </c>
      <c r="D1507" s="16" t="s">
        <v>86</v>
      </c>
      <c r="E1507" s="6" t="n">
        <v>1000</v>
      </c>
      <c r="F1507" s="7" t="n">
        <v>34</v>
      </c>
      <c r="G1507" s="6" t="n">
        <v>30.42</v>
      </c>
      <c r="H1507" s="6" t="n">
        <v>134</v>
      </c>
      <c r="I1507" s="6" t="n">
        <v>1034.28</v>
      </c>
      <c r="J1507" s="6" t="n">
        <v>900.28</v>
      </c>
    </row>
    <row collapsed="false" customFormat="false" customHeight="false" hidden="false" ht="12.1" outlineLevel="0" r="1508">
      <c r="A1508" s="35" t="n">
        <v>48065</v>
      </c>
      <c r="B1508" s="16" t="s">
        <v>1375</v>
      </c>
      <c r="C1508" s="16" t="s">
        <v>112</v>
      </c>
      <c r="D1508" s="16" t="s">
        <v>113</v>
      </c>
      <c r="E1508" s="6" t="n">
        <v>1000</v>
      </c>
      <c r="F1508" s="7" t="n">
        <v>19</v>
      </c>
      <c r="G1508" s="6" t="n">
        <v>34.9</v>
      </c>
      <c r="H1508" s="6" t="n">
        <v>86</v>
      </c>
      <c r="I1508" s="6" t="n">
        <v>663.1</v>
      </c>
      <c r="J1508" s="6" t="n">
        <v>577.1</v>
      </c>
    </row>
    <row collapsed="false" customFormat="false" customHeight="false" hidden="false" ht="12.1" outlineLevel="0" r="1509">
      <c r="A1509" s="35" t="n">
        <v>48107</v>
      </c>
      <c r="B1509" s="16" t="s">
        <v>1375</v>
      </c>
      <c r="C1509" s="16" t="s">
        <v>133</v>
      </c>
      <c r="D1509" s="16" t="s">
        <v>134</v>
      </c>
      <c r="E1509" s="6" t="n">
        <v>1000</v>
      </c>
      <c r="F1509" s="7" t="n">
        <v>12</v>
      </c>
      <c r="G1509" s="6" t="n">
        <v>42.38</v>
      </c>
      <c r="H1509" s="6" t="n">
        <v>66</v>
      </c>
      <c r="I1509" s="6" t="n">
        <v>508.56</v>
      </c>
      <c r="J1509" s="6" t="n">
        <v>442.56</v>
      </c>
    </row>
    <row collapsed="false" customFormat="false" customHeight="false" hidden="false" ht="12.1" outlineLevel="0" r="1510">
      <c r="A1510" s="35" t="n">
        <v>48107</v>
      </c>
      <c r="B1510" s="16" t="s">
        <v>1375</v>
      </c>
      <c r="C1510" s="16" t="s">
        <v>130</v>
      </c>
      <c r="D1510" s="16" t="s">
        <v>131</v>
      </c>
      <c r="E1510" s="6" t="n">
        <v>1000</v>
      </c>
      <c r="F1510" s="7" t="n">
        <v>11</v>
      </c>
      <c r="G1510" s="6" t="n">
        <v>56.1</v>
      </c>
      <c r="H1510" s="6" t="n">
        <v>80</v>
      </c>
      <c r="I1510" s="6" t="n">
        <v>617.1</v>
      </c>
      <c r="J1510" s="6" t="n">
        <v>537.1</v>
      </c>
    </row>
    <row collapsed="false" customFormat="false" customHeight="false" hidden="false" ht="12.1" outlineLevel="0" r="1511">
      <c r="A1511" s="35" t="n">
        <v>48107</v>
      </c>
      <c r="B1511" s="16" t="s">
        <v>1375</v>
      </c>
      <c r="C1511" s="16" t="s">
        <v>97</v>
      </c>
      <c r="D1511" s="16" t="s">
        <v>98</v>
      </c>
      <c r="E1511" s="6" t="n">
        <v>1000</v>
      </c>
      <c r="F1511" s="7" t="n">
        <v>14</v>
      </c>
      <c r="G1511" s="6" t="n">
        <v>59.84</v>
      </c>
      <c r="H1511" s="6" t="n">
        <v>109</v>
      </c>
      <c r="I1511" s="6" t="n">
        <v>837.76</v>
      </c>
      <c r="J1511" s="6" t="n">
        <v>728.76</v>
      </c>
    </row>
    <row collapsed="false" customFormat="false" customHeight="false" hidden="false" ht="12.1" outlineLevel="0" r="1512">
      <c r="A1512" s="35" t="n">
        <v>48107</v>
      </c>
      <c r="B1512" s="16" t="s">
        <v>1375</v>
      </c>
      <c r="C1512" s="16" t="s">
        <v>157</v>
      </c>
      <c r="D1512" s="16" t="s">
        <v>158</v>
      </c>
      <c r="E1512" s="6" t="n">
        <v>1448.61</v>
      </c>
      <c r="F1512" s="7" t="n">
        <v>4</v>
      </c>
      <c r="G1512" s="6" t="n">
        <v>18.13</v>
      </c>
      <c r="H1512" s="6" t="n">
        <v>9</v>
      </c>
      <c r="I1512" s="6" t="n">
        <v>72.52</v>
      </c>
      <c r="J1512" s="6" t="n">
        <v>63.52</v>
      </c>
    </row>
    <row collapsed="false" customFormat="false" customHeight="false" hidden="false" ht="12.1" outlineLevel="0" r="1513">
      <c r="A1513" s="35" t="n">
        <v>48114</v>
      </c>
      <c r="B1513" s="16" t="s">
        <v>1375</v>
      </c>
      <c r="C1513" s="16" t="s">
        <v>106</v>
      </c>
      <c r="D1513" s="16" t="s">
        <v>107</v>
      </c>
      <c r="E1513" s="6" t="n">
        <v>1000</v>
      </c>
      <c r="F1513" s="7" t="n">
        <v>18</v>
      </c>
      <c r="G1513" s="6" t="n">
        <v>38.39</v>
      </c>
      <c r="H1513" s="6" t="n">
        <v>90</v>
      </c>
      <c r="I1513" s="6" t="n">
        <v>691.02</v>
      </c>
      <c r="J1513" s="6" t="n">
        <v>601.02</v>
      </c>
    </row>
    <row collapsed="false" customFormat="false" customHeight="false" hidden="false" ht="12.1" outlineLevel="0" r="1514">
      <c r="A1514" s="35" t="n">
        <v>48114</v>
      </c>
      <c r="B1514" s="16" t="s">
        <v>1375</v>
      </c>
      <c r="C1514" s="16" t="s">
        <v>127</v>
      </c>
      <c r="D1514" s="16" t="s">
        <v>128</v>
      </c>
      <c r="E1514" s="6" t="n">
        <v>1000</v>
      </c>
      <c r="F1514" s="7" t="n">
        <v>14</v>
      </c>
      <c r="G1514" s="6" t="n">
        <v>38.39</v>
      </c>
      <c r="H1514" s="6" t="n">
        <v>70</v>
      </c>
      <c r="I1514" s="6" t="n">
        <v>537.46</v>
      </c>
      <c r="J1514" s="6" t="n">
        <v>467.46</v>
      </c>
    </row>
    <row collapsed="false" customFormat="false" customHeight="false" hidden="false" ht="12.1" outlineLevel="0" r="1515">
      <c r="A1515" s="35" t="n">
        <v>48121</v>
      </c>
      <c r="B1515" s="16" t="s">
        <v>1375</v>
      </c>
      <c r="C1515" s="16" t="s">
        <v>121</v>
      </c>
      <c r="D1515" s="16" t="s">
        <v>122</v>
      </c>
      <c r="E1515" s="6" t="n">
        <v>1000</v>
      </c>
      <c r="F1515" s="7" t="n">
        <v>12</v>
      </c>
      <c r="G1515" s="6" t="n">
        <v>59.84</v>
      </c>
      <c r="H1515" s="6" t="n">
        <v>93</v>
      </c>
      <c r="I1515" s="6" t="n">
        <v>718.08</v>
      </c>
      <c r="J1515" s="6" t="n">
        <v>625.08</v>
      </c>
    </row>
    <row collapsed="false" customFormat="false" customHeight="false" hidden="false" ht="12.1" outlineLevel="0" r="1516">
      <c r="A1516" s="35" t="n">
        <v>48135</v>
      </c>
      <c r="B1516" s="16" t="s">
        <v>1375</v>
      </c>
      <c r="C1516" s="16" t="s">
        <v>205</v>
      </c>
      <c r="D1516" s="16" t="s">
        <v>206</v>
      </c>
      <c r="E1516" s="6" t="n">
        <v>1000</v>
      </c>
      <c r="F1516" s="7" t="n">
        <v>2</v>
      </c>
      <c r="G1516" s="6" t="n">
        <v>64.82</v>
      </c>
      <c r="H1516" s="6" t="n">
        <v>17</v>
      </c>
      <c r="I1516" s="6" t="n">
        <v>129.64</v>
      </c>
      <c r="J1516" s="6" t="n">
        <v>112.64</v>
      </c>
    </row>
    <row collapsed="false" customFormat="false" customHeight="false" hidden="false" ht="12.1" outlineLevel="0" r="1517">
      <c r="A1517" s="35" t="n">
        <v>48135</v>
      </c>
      <c r="B1517" s="16" t="s">
        <v>1375</v>
      </c>
      <c r="C1517" s="16" t="s">
        <v>208</v>
      </c>
      <c r="D1517" s="16" t="s">
        <v>209</v>
      </c>
      <c r="E1517" s="6" t="n">
        <v>1000</v>
      </c>
      <c r="F1517" s="7" t="n">
        <v>2</v>
      </c>
      <c r="G1517" s="6" t="n">
        <v>64.82</v>
      </c>
      <c r="H1517" s="6" t="n">
        <v>17</v>
      </c>
      <c r="I1517" s="6" t="n">
        <v>129.64</v>
      </c>
      <c r="J1517" s="6" t="n">
        <v>112.64</v>
      </c>
    </row>
    <row collapsed="false" customFormat="false" customHeight="false" hidden="false" ht="12.1" outlineLevel="0" r="1518">
      <c r="A1518" s="35" t="n">
        <v>48135</v>
      </c>
      <c r="B1518" s="16" t="s">
        <v>1375</v>
      </c>
      <c r="C1518" s="16" t="s">
        <v>169</v>
      </c>
      <c r="D1518" s="16" t="s">
        <v>170</v>
      </c>
      <c r="E1518" s="6" t="n">
        <v>1000</v>
      </c>
      <c r="F1518" s="7" t="n">
        <v>3</v>
      </c>
      <c r="G1518" s="6" t="n">
        <v>62.33</v>
      </c>
      <c r="H1518" s="6" t="n">
        <v>24</v>
      </c>
      <c r="I1518" s="6" t="n">
        <v>186.99</v>
      </c>
      <c r="J1518" s="6" t="n">
        <v>162.99</v>
      </c>
    </row>
    <row collapsed="false" customFormat="false" customHeight="false" hidden="false" ht="12.1" outlineLevel="0" r="1519">
      <c r="A1519" s="35" t="n">
        <v>48156</v>
      </c>
      <c r="B1519" s="16" t="s">
        <v>1375</v>
      </c>
      <c r="C1519" s="16" t="s">
        <v>109</v>
      </c>
      <c r="D1519" s="16" t="s">
        <v>110</v>
      </c>
      <c r="E1519" s="6" t="n">
        <v>1000</v>
      </c>
      <c r="F1519" s="7" t="n">
        <v>11</v>
      </c>
      <c r="G1519" s="6" t="n">
        <v>99.18</v>
      </c>
      <c r="H1519" s="6" t="n">
        <v>142</v>
      </c>
      <c r="I1519" s="6" t="n">
        <v>1090.98</v>
      </c>
      <c r="J1519" s="6" t="n">
        <v>948.98</v>
      </c>
    </row>
    <row collapsed="false" customFormat="false" customHeight="false" hidden="false" ht="12.1" outlineLevel="0" r="1520">
      <c r="A1520" s="35" t="n">
        <v>48163</v>
      </c>
      <c r="B1520" s="16" t="s">
        <v>1375</v>
      </c>
      <c r="C1520" s="16" t="s">
        <v>136</v>
      </c>
      <c r="D1520" s="16" t="s">
        <v>137</v>
      </c>
      <c r="E1520" s="6" t="n">
        <v>1000</v>
      </c>
      <c r="F1520" s="7" t="n">
        <v>14</v>
      </c>
      <c r="G1520" s="6" t="n">
        <v>36.15</v>
      </c>
      <c r="H1520" s="6" t="n">
        <v>66</v>
      </c>
      <c r="I1520" s="6" t="n">
        <v>506.1</v>
      </c>
      <c r="J1520" s="6" t="n">
        <v>440.1</v>
      </c>
    </row>
    <row collapsed="false" customFormat="false" customHeight="false" hidden="false" ht="12.1" outlineLevel="0" r="1521">
      <c r="A1521" s="35" t="n">
        <v>48163</v>
      </c>
      <c r="B1521" s="16" t="s">
        <v>1375</v>
      </c>
      <c r="C1521" s="16" t="s">
        <v>139</v>
      </c>
      <c r="D1521" s="16" t="s">
        <v>140</v>
      </c>
      <c r="E1521" s="6" t="n">
        <v>1242.73</v>
      </c>
      <c r="F1521" s="7" t="n">
        <v>6</v>
      </c>
      <c r="G1521" s="6" t="n">
        <v>15.55</v>
      </c>
      <c r="H1521" s="6" t="n">
        <v>12</v>
      </c>
      <c r="I1521" s="6" t="n">
        <v>93.3</v>
      </c>
      <c r="J1521" s="6" t="n">
        <v>81.3</v>
      </c>
    </row>
    <row collapsed="false" customFormat="false" customHeight="false" hidden="false" ht="12.1" outlineLevel="0" r="1522">
      <c r="A1522" s="35" t="n">
        <v>48170</v>
      </c>
      <c r="B1522" s="16" t="s">
        <v>1375</v>
      </c>
      <c r="C1522" s="16" t="s">
        <v>118</v>
      </c>
      <c r="D1522" s="16" t="s">
        <v>119</v>
      </c>
      <c r="E1522" s="6" t="n">
        <v>1000</v>
      </c>
      <c r="F1522" s="7" t="n">
        <v>14</v>
      </c>
      <c r="G1522" s="6" t="n">
        <v>47.37</v>
      </c>
      <c r="H1522" s="6" t="n">
        <v>86</v>
      </c>
      <c r="I1522" s="6" t="n">
        <v>663.18</v>
      </c>
      <c r="J1522" s="6" t="n">
        <v>577.18</v>
      </c>
    </row>
    <row collapsed="false" customFormat="false" customHeight="false" hidden="false" ht="12.1" outlineLevel="0" r="1523">
      <c r="A1523" s="35" t="n">
        <v>48170</v>
      </c>
      <c r="B1523" s="16" t="s">
        <v>1375</v>
      </c>
      <c r="C1523" s="16" t="s">
        <v>115</v>
      </c>
      <c r="D1523" s="16" t="s">
        <v>116</v>
      </c>
      <c r="E1523" s="6" t="n">
        <v>1000</v>
      </c>
      <c r="F1523" s="7" t="n">
        <v>13</v>
      </c>
      <c r="G1523" s="6" t="n">
        <v>61.08</v>
      </c>
      <c r="H1523" s="6" t="n">
        <v>103</v>
      </c>
      <c r="I1523" s="6" t="n">
        <v>794.04</v>
      </c>
      <c r="J1523" s="6" t="n">
        <v>691.04</v>
      </c>
    </row>
    <row collapsed="false" customFormat="false" customHeight="false" hidden="false" ht="12.1" outlineLevel="0" r="1524">
      <c r="A1524" s="35" t="n">
        <v>48177</v>
      </c>
      <c r="B1524" s="16" t="s">
        <v>1375</v>
      </c>
      <c r="C1524" s="16" t="s">
        <v>91</v>
      </c>
      <c r="D1524" s="16" t="s">
        <v>92</v>
      </c>
      <c r="E1524" s="6" t="n">
        <v>1000</v>
      </c>
      <c r="F1524" s="7" t="n">
        <v>19</v>
      </c>
      <c r="G1524" s="6" t="n">
        <v>48.87</v>
      </c>
      <c r="H1524" s="6" t="n">
        <v>121</v>
      </c>
      <c r="I1524" s="6" t="n">
        <v>928.53</v>
      </c>
      <c r="J1524" s="6" t="n">
        <v>807.53</v>
      </c>
    </row>
    <row collapsed="false" customFormat="false" customHeight="false" hidden="false" ht="12.1" outlineLevel="0" r="1525">
      <c r="A1525" s="35" t="n">
        <v>48177</v>
      </c>
      <c r="B1525" s="16" t="s">
        <v>1375</v>
      </c>
      <c r="C1525" s="16" t="s">
        <v>100</v>
      </c>
      <c r="D1525" s="16" t="s">
        <v>101</v>
      </c>
      <c r="E1525" s="6" t="n">
        <v>1000</v>
      </c>
      <c r="F1525" s="7" t="n">
        <v>14</v>
      </c>
      <c r="G1525" s="6" t="n">
        <v>61.08</v>
      </c>
      <c r="H1525" s="6" t="n">
        <v>111</v>
      </c>
      <c r="I1525" s="6" t="n">
        <v>855.12</v>
      </c>
      <c r="J1525" s="6" t="n">
        <v>744.12</v>
      </c>
    </row>
    <row collapsed="false" customFormat="false" customHeight="false" hidden="false" ht="12.1" outlineLevel="0" r="1526">
      <c r="A1526" s="35" t="n">
        <v>48177</v>
      </c>
      <c r="B1526" s="16" t="s">
        <v>1375</v>
      </c>
      <c r="C1526" s="16" t="s">
        <v>94</v>
      </c>
      <c r="D1526" s="16" t="s">
        <v>95</v>
      </c>
      <c r="E1526" s="6" t="n">
        <v>1000</v>
      </c>
      <c r="F1526" s="7" t="n">
        <v>23</v>
      </c>
      <c r="G1526" s="6" t="n">
        <v>35.4</v>
      </c>
      <c r="H1526" s="6" t="n">
        <v>106</v>
      </c>
      <c r="I1526" s="6" t="n">
        <v>814.2</v>
      </c>
      <c r="J1526" s="6" t="n">
        <v>708.2</v>
      </c>
    </row>
    <row collapsed="false" customFormat="false" customHeight="false" hidden="false" ht="12.1" outlineLevel="0" r="1527">
      <c r="A1527" s="35" t="n">
        <v>48191</v>
      </c>
      <c r="B1527" s="16" t="s">
        <v>1375</v>
      </c>
      <c r="C1527" s="16" t="s">
        <v>88</v>
      </c>
      <c r="D1527" s="16" t="s">
        <v>89</v>
      </c>
      <c r="E1527" s="6" t="n">
        <v>1000</v>
      </c>
      <c r="F1527" s="7" t="n">
        <v>14</v>
      </c>
      <c r="G1527" s="6" t="n">
        <v>95.44</v>
      </c>
      <c r="H1527" s="6" t="n">
        <v>174</v>
      </c>
      <c r="I1527" s="6" t="n">
        <v>1336.16</v>
      </c>
      <c r="J1527" s="6" t="n">
        <v>1162.16</v>
      </c>
    </row>
    <row collapsed="false" customFormat="false" customHeight="false" hidden="false" ht="12.1" outlineLevel="0" r="1528">
      <c r="A1528" s="35" t="n">
        <v>48198</v>
      </c>
      <c r="B1528" s="16" t="s">
        <v>1375</v>
      </c>
      <c r="C1528" s="16" t="s">
        <v>148</v>
      </c>
      <c r="D1528" s="16" t="s">
        <v>149</v>
      </c>
      <c r="E1528" s="6" t="n">
        <v>1000</v>
      </c>
      <c r="F1528" s="7" t="n">
        <v>6</v>
      </c>
      <c r="G1528" s="6" t="n">
        <v>54.85</v>
      </c>
      <c r="H1528" s="6" t="n">
        <v>43</v>
      </c>
      <c r="I1528" s="6" t="n">
        <v>329.1</v>
      </c>
      <c r="J1528" s="6" t="n">
        <v>286.1</v>
      </c>
    </row>
    <row collapsed="false" customFormat="false" customHeight="false" hidden="false" ht="12.1" outlineLevel="0" r="1529">
      <c r="A1529" s="35" t="n">
        <v>48198</v>
      </c>
      <c r="B1529" s="16" t="s">
        <v>1375</v>
      </c>
      <c r="C1529" s="16" t="s">
        <v>145</v>
      </c>
      <c r="D1529" s="16" t="s">
        <v>146</v>
      </c>
      <c r="E1529" s="6" t="n">
        <v>1000</v>
      </c>
      <c r="F1529" s="7" t="n">
        <v>6</v>
      </c>
      <c r="G1529" s="6" t="n">
        <v>59.84</v>
      </c>
      <c r="H1529" s="6" t="n">
        <v>47</v>
      </c>
      <c r="I1529" s="6" t="n">
        <v>359.04</v>
      </c>
      <c r="J1529" s="6" t="n">
        <v>312.04</v>
      </c>
    </row>
    <row collapsed="false" customFormat="false" customHeight="false" hidden="false" ht="12.1" outlineLevel="0" r="1530">
      <c r="A1530" s="35" t="n">
        <v>48233</v>
      </c>
      <c r="B1530" s="16" t="s">
        <v>1375</v>
      </c>
      <c r="C1530" s="16" t="s">
        <v>84</v>
      </c>
      <c r="D1530" s="16" t="s">
        <v>86</v>
      </c>
      <c r="E1530" s="6" t="n">
        <v>1000</v>
      </c>
      <c r="F1530" s="7" t="n">
        <v>34</v>
      </c>
      <c r="G1530" s="6" t="n">
        <v>30.42</v>
      </c>
      <c r="H1530" s="6" t="n">
        <v>134</v>
      </c>
      <c r="I1530" s="6" t="n">
        <v>1034.28</v>
      </c>
      <c r="J1530" s="6" t="n">
        <v>900.28</v>
      </c>
    </row>
    <row collapsed="false" customFormat="false" customHeight="false" hidden="false" ht="12.1" outlineLevel="0" r="1531">
      <c r="A1531" s="35" t="n">
        <v>48247</v>
      </c>
      <c r="B1531" s="16" t="s">
        <v>1375</v>
      </c>
      <c r="C1531" s="16" t="s">
        <v>112</v>
      </c>
      <c r="D1531" s="16" t="s">
        <v>113</v>
      </c>
      <c r="E1531" s="6" t="n">
        <v>1000</v>
      </c>
      <c r="F1531" s="7" t="n">
        <v>19</v>
      </c>
      <c r="G1531" s="6" t="n">
        <v>34.9</v>
      </c>
      <c r="H1531" s="6" t="n">
        <v>86</v>
      </c>
      <c r="I1531" s="6" t="n">
        <v>663.1</v>
      </c>
      <c r="J1531" s="6" t="n">
        <v>577.1</v>
      </c>
    </row>
    <row collapsed="false" customFormat="false" customHeight="false" hidden="false" ht="12.1" outlineLevel="0" r="1532">
      <c r="A1532" s="35" t="n">
        <v>48289</v>
      </c>
      <c r="B1532" s="16" t="s">
        <v>1375</v>
      </c>
      <c r="C1532" s="16" t="s">
        <v>157</v>
      </c>
      <c r="D1532" s="16" t="s">
        <v>158</v>
      </c>
      <c r="E1532" s="6" t="n">
        <v>1448.61</v>
      </c>
      <c r="F1532" s="7" t="n">
        <v>4</v>
      </c>
      <c r="G1532" s="6" t="n">
        <v>18.13</v>
      </c>
      <c r="H1532" s="6" t="n">
        <v>9</v>
      </c>
      <c r="I1532" s="6" t="n">
        <v>72.52</v>
      </c>
      <c r="J1532" s="6" t="n">
        <v>63.52</v>
      </c>
    </row>
    <row collapsed="false" customFormat="false" customHeight="false" hidden="false" ht="12.1" outlineLevel="0" r="1533">
      <c r="A1533" s="35" t="n">
        <v>48289</v>
      </c>
      <c r="B1533" s="16" t="s">
        <v>1375</v>
      </c>
      <c r="C1533" s="16" t="s">
        <v>130</v>
      </c>
      <c r="D1533" s="16" t="s">
        <v>131</v>
      </c>
      <c r="E1533" s="6" t="n">
        <v>1000</v>
      </c>
      <c r="F1533" s="7" t="n">
        <v>11</v>
      </c>
      <c r="G1533" s="6" t="n">
        <v>56.1</v>
      </c>
      <c r="H1533" s="6" t="n">
        <v>80</v>
      </c>
      <c r="I1533" s="6" t="n">
        <v>617.1</v>
      </c>
      <c r="J1533" s="6" t="n">
        <v>537.1</v>
      </c>
    </row>
    <row collapsed="false" customFormat="false" customHeight="false" hidden="false" ht="12.1" outlineLevel="0" r="1534">
      <c r="A1534" s="35" t="n">
        <v>48289</v>
      </c>
      <c r="B1534" s="16" t="s">
        <v>1375</v>
      </c>
      <c r="C1534" s="16" t="s">
        <v>97</v>
      </c>
      <c r="D1534" s="16" t="s">
        <v>98</v>
      </c>
      <c r="E1534" s="6" t="n">
        <v>1000</v>
      </c>
      <c r="F1534" s="7" t="n">
        <v>14</v>
      </c>
      <c r="G1534" s="6" t="n">
        <v>59.84</v>
      </c>
      <c r="H1534" s="6" t="n">
        <v>109</v>
      </c>
      <c r="I1534" s="6" t="n">
        <v>837.76</v>
      </c>
      <c r="J1534" s="6" t="n">
        <v>728.76</v>
      </c>
    </row>
    <row collapsed="false" customFormat="false" customHeight="false" hidden="false" ht="12.1" outlineLevel="0" r="1535">
      <c r="A1535" s="35" t="n">
        <v>48296</v>
      </c>
      <c r="B1535" s="16" t="s">
        <v>1375</v>
      </c>
      <c r="C1535" s="16" t="s">
        <v>106</v>
      </c>
      <c r="D1535" s="16" t="s">
        <v>107</v>
      </c>
      <c r="E1535" s="6" t="n">
        <v>1000</v>
      </c>
      <c r="F1535" s="7" t="n">
        <v>18</v>
      </c>
      <c r="G1535" s="6" t="n">
        <v>38.39</v>
      </c>
      <c r="H1535" s="6" t="n">
        <v>90</v>
      </c>
      <c r="I1535" s="6" t="n">
        <v>691.02</v>
      </c>
      <c r="J1535" s="6" t="n">
        <v>601.02</v>
      </c>
    </row>
    <row collapsed="false" customFormat="false" customHeight="false" hidden="false" ht="12.1" outlineLevel="0" r="1536">
      <c r="A1536" s="35" t="n">
        <v>48296</v>
      </c>
      <c r="B1536" s="16" t="s">
        <v>1375</v>
      </c>
      <c r="C1536" s="16" t="s">
        <v>127</v>
      </c>
      <c r="D1536" s="16" t="s">
        <v>128</v>
      </c>
      <c r="E1536" s="6" t="n">
        <v>1000</v>
      </c>
      <c r="F1536" s="7" t="n">
        <v>14</v>
      </c>
      <c r="G1536" s="6" t="n">
        <v>38.39</v>
      </c>
      <c r="H1536" s="6" t="n">
        <v>70</v>
      </c>
      <c r="I1536" s="6" t="n">
        <v>537.46</v>
      </c>
      <c r="J1536" s="6" t="n">
        <v>467.46</v>
      </c>
    </row>
    <row collapsed="false" customFormat="false" customHeight="false" hidden="false" ht="12.1" outlineLevel="0" r="1537">
      <c r="A1537" s="35" t="n">
        <v>48303</v>
      </c>
      <c r="B1537" s="16" t="s">
        <v>1375</v>
      </c>
      <c r="C1537" s="16" t="s">
        <v>121</v>
      </c>
      <c r="D1537" s="16" t="s">
        <v>122</v>
      </c>
      <c r="E1537" s="6" t="n">
        <v>1000</v>
      </c>
      <c r="F1537" s="7" t="n">
        <v>12</v>
      </c>
      <c r="G1537" s="6" t="n">
        <v>59.84</v>
      </c>
      <c r="H1537" s="6" t="n">
        <v>93</v>
      </c>
      <c r="I1537" s="6" t="n">
        <v>718.08</v>
      </c>
      <c r="J1537" s="6" t="n">
        <v>625.08</v>
      </c>
    </row>
    <row collapsed="false" customFormat="false" customHeight="false" hidden="false" ht="12.1" outlineLevel="0" r="1538">
      <c r="A1538" s="35" t="n">
        <v>48317</v>
      </c>
      <c r="B1538" s="16" t="s">
        <v>1375</v>
      </c>
      <c r="C1538" s="16" t="s">
        <v>169</v>
      </c>
      <c r="D1538" s="16" t="s">
        <v>170</v>
      </c>
      <c r="E1538" s="6" t="n">
        <v>1000</v>
      </c>
      <c r="F1538" s="7" t="n">
        <v>3</v>
      </c>
      <c r="G1538" s="6" t="n">
        <v>62.33</v>
      </c>
      <c r="H1538" s="6" t="n">
        <v>24</v>
      </c>
      <c r="I1538" s="6" t="n">
        <v>186.99</v>
      </c>
      <c r="J1538" s="6" t="n">
        <v>162.99</v>
      </c>
    </row>
    <row collapsed="false" customFormat="false" customHeight="false" hidden="false" ht="12.1" outlineLevel="0" r="1539">
      <c r="A1539" s="35" t="n">
        <v>48317</v>
      </c>
      <c r="B1539" s="16" t="s">
        <v>1375</v>
      </c>
      <c r="C1539" s="16" t="s">
        <v>205</v>
      </c>
      <c r="D1539" s="16" t="s">
        <v>206</v>
      </c>
      <c r="E1539" s="6" t="n">
        <v>1000</v>
      </c>
      <c r="F1539" s="7" t="n">
        <v>2</v>
      </c>
      <c r="G1539" s="6" t="n">
        <v>64.82</v>
      </c>
      <c r="H1539" s="6" t="n">
        <v>17</v>
      </c>
      <c r="I1539" s="6" t="n">
        <v>129.64</v>
      </c>
      <c r="J1539" s="6" t="n">
        <v>112.64</v>
      </c>
    </row>
    <row collapsed="false" customFormat="false" customHeight="false" hidden="false" ht="12.1" outlineLevel="0" r="1540">
      <c r="A1540" s="35" t="n">
        <v>48317</v>
      </c>
      <c r="B1540" s="16" t="s">
        <v>1375</v>
      </c>
      <c r="C1540" s="16" t="s">
        <v>208</v>
      </c>
      <c r="D1540" s="16" t="s">
        <v>209</v>
      </c>
      <c r="E1540" s="6" t="n">
        <v>1000</v>
      </c>
      <c r="F1540" s="7" t="n">
        <v>2</v>
      </c>
      <c r="G1540" s="6" t="n">
        <v>64.82</v>
      </c>
      <c r="H1540" s="6" t="n">
        <v>17</v>
      </c>
      <c r="I1540" s="6" t="n">
        <v>129.64</v>
      </c>
      <c r="J1540" s="6" t="n">
        <v>112.64</v>
      </c>
    </row>
    <row collapsed="false" customFormat="false" customHeight="false" hidden="false" ht="12.1" outlineLevel="0" r="1541">
      <c r="A1541" s="35" t="n">
        <v>48338</v>
      </c>
      <c r="B1541" s="16" t="s">
        <v>1375</v>
      </c>
      <c r="C1541" s="16" t="s">
        <v>109</v>
      </c>
      <c r="D1541" s="16" t="s">
        <v>110</v>
      </c>
      <c r="E1541" s="6" t="n">
        <v>1000</v>
      </c>
      <c r="F1541" s="7" t="n">
        <v>11</v>
      </c>
      <c r="G1541" s="6" t="n">
        <v>99.18</v>
      </c>
      <c r="H1541" s="6" t="n">
        <v>142</v>
      </c>
      <c r="I1541" s="6" t="n">
        <v>1090.98</v>
      </c>
      <c r="J1541" s="6" t="n">
        <v>948.98</v>
      </c>
    </row>
    <row collapsed="false" customFormat="false" customHeight="false" hidden="false" ht="12.1" outlineLevel="0" r="1542">
      <c r="A1542" s="35" t="n">
        <v>48345</v>
      </c>
      <c r="B1542" s="16" t="s">
        <v>1375</v>
      </c>
      <c r="C1542" s="16" t="s">
        <v>139</v>
      </c>
      <c r="D1542" s="16" t="s">
        <v>140</v>
      </c>
      <c r="E1542" s="6" t="n">
        <v>1242.73</v>
      </c>
      <c r="F1542" s="7" t="n">
        <v>6</v>
      </c>
      <c r="G1542" s="6" t="n">
        <v>15.55</v>
      </c>
      <c r="H1542" s="6" t="n">
        <v>12</v>
      </c>
      <c r="I1542" s="6" t="n">
        <v>93.3</v>
      </c>
      <c r="J1542" s="6" t="n">
        <v>81.3</v>
      </c>
    </row>
    <row collapsed="false" customFormat="false" customHeight="false" hidden="false" ht="12.1" outlineLevel="0" r="1543">
      <c r="A1543" s="35" t="n">
        <v>48345</v>
      </c>
      <c r="B1543" s="16" t="s">
        <v>1375</v>
      </c>
      <c r="C1543" s="16" t="s">
        <v>136</v>
      </c>
      <c r="D1543" s="16" t="s">
        <v>137</v>
      </c>
      <c r="E1543" s="6" t="n">
        <v>1000</v>
      </c>
      <c r="F1543" s="7" t="n">
        <v>14</v>
      </c>
      <c r="G1543" s="6" t="n">
        <v>36.15</v>
      </c>
      <c r="H1543" s="6" t="n">
        <v>66</v>
      </c>
      <c r="I1543" s="6" t="n">
        <v>506.1</v>
      </c>
      <c r="J1543" s="6" t="n">
        <v>440.1</v>
      </c>
    </row>
    <row collapsed="false" customFormat="false" customHeight="false" hidden="false" ht="12.1" outlineLevel="0" r="1544">
      <c r="A1544" s="35" t="n">
        <v>48352</v>
      </c>
      <c r="B1544" s="16" t="s">
        <v>1375</v>
      </c>
      <c r="C1544" s="16" t="s">
        <v>115</v>
      </c>
      <c r="D1544" s="16" t="s">
        <v>116</v>
      </c>
      <c r="E1544" s="6" t="n">
        <v>1000</v>
      </c>
      <c r="F1544" s="7" t="n">
        <v>13</v>
      </c>
      <c r="G1544" s="6" t="n">
        <v>61.08</v>
      </c>
      <c r="H1544" s="6" t="n">
        <v>103</v>
      </c>
      <c r="I1544" s="6" t="n">
        <v>794.04</v>
      </c>
      <c r="J1544" s="6" t="n">
        <v>691.04</v>
      </c>
    </row>
    <row collapsed="false" customFormat="false" customHeight="false" hidden="false" ht="12.1" outlineLevel="0" r="1545">
      <c r="A1545" s="35" t="n">
        <v>48352</v>
      </c>
      <c r="B1545" s="16" t="s">
        <v>1375</v>
      </c>
      <c r="C1545" s="16" t="s">
        <v>118</v>
      </c>
      <c r="D1545" s="16" t="s">
        <v>119</v>
      </c>
      <c r="E1545" s="6" t="n">
        <v>1000</v>
      </c>
      <c r="F1545" s="7" t="n">
        <v>14</v>
      </c>
      <c r="G1545" s="6" t="n">
        <v>47.37</v>
      </c>
      <c r="H1545" s="6" t="n">
        <v>86</v>
      </c>
      <c r="I1545" s="6" t="n">
        <v>663.18</v>
      </c>
      <c r="J1545" s="6" t="n">
        <v>577.18</v>
      </c>
    </row>
    <row collapsed="false" customFormat="false" customHeight="false" hidden="false" ht="12.1" outlineLevel="0" r="1546">
      <c r="A1546" s="35" t="n">
        <v>48359</v>
      </c>
      <c r="B1546" s="16" t="s">
        <v>1375</v>
      </c>
      <c r="C1546" s="16" t="s">
        <v>100</v>
      </c>
      <c r="D1546" s="16" t="s">
        <v>101</v>
      </c>
      <c r="E1546" s="6" t="n">
        <v>1000</v>
      </c>
      <c r="F1546" s="7" t="n">
        <v>14</v>
      </c>
      <c r="G1546" s="6" t="n">
        <v>61.08</v>
      </c>
      <c r="H1546" s="6" t="n">
        <v>111</v>
      </c>
      <c r="I1546" s="6" t="n">
        <v>855.12</v>
      </c>
      <c r="J1546" s="6" t="n">
        <v>744.12</v>
      </c>
    </row>
    <row collapsed="false" customFormat="false" customHeight="false" hidden="false" ht="12.1" outlineLevel="0" r="1547">
      <c r="A1547" s="35" t="n">
        <v>48359</v>
      </c>
      <c r="B1547" s="16" t="s">
        <v>1375</v>
      </c>
      <c r="C1547" s="16" t="s">
        <v>94</v>
      </c>
      <c r="D1547" s="16" t="s">
        <v>95</v>
      </c>
      <c r="E1547" s="6" t="n">
        <v>1000</v>
      </c>
      <c r="F1547" s="7" t="n">
        <v>23</v>
      </c>
      <c r="G1547" s="6" t="n">
        <v>35.4</v>
      </c>
      <c r="H1547" s="6" t="n">
        <v>106</v>
      </c>
      <c r="I1547" s="6" t="n">
        <v>814.2</v>
      </c>
      <c r="J1547" s="6" t="n">
        <v>708.2</v>
      </c>
    </row>
    <row collapsed="false" customFormat="false" customHeight="false" hidden="false" ht="12.1" outlineLevel="0" r="1548">
      <c r="A1548" s="35" t="n">
        <v>48359</v>
      </c>
      <c r="B1548" s="16" t="s">
        <v>1375</v>
      </c>
      <c r="C1548" s="16" t="s">
        <v>91</v>
      </c>
      <c r="D1548" s="16" t="s">
        <v>92</v>
      </c>
      <c r="E1548" s="6" t="n">
        <v>1000</v>
      </c>
      <c r="F1548" s="7" t="n">
        <v>19</v>
      </c>
      <c r="G1548" s="6" t="n">
        <v>48.87</v>
      </c>
      <c r="H1548" s="6" t="n">
        <v>121</v>
      </c>
      <c r="I1548" s="6" t="n">
        <v>928.53</v>
      </c>
      <c r="J1548" s="6" t="n">
        <v>807.53</v>
      </c>
    </row>
    <row collapsed="false" customFormat="false" customHeight="false" hidden="false" ht="12.1" outlineLevel="0" r="1549">
      <c r="A1549" s="35" t="n">
        <v>48373</v>
      </c>
      <c r="B1549" s="16" t="s">
        <v>1375</v>
      </c>
      <c r="C1549" s="16" t="s">
        <v>88</v>
      </c>
      <c r="D1549" s="16" t="s">
        <v>89</v>
      </c>
      <c r="E1549" s="6" t="n">
        <v>1000</v>
      </c>
      <c r="F1549" s="7" t="n">
        <v>14</v>
      </c>
      <c r="G1549" s="6" t="n">
        <v>95.44</v>
      </c>
      <c r="H1549" s="6" t="n">
        <v>174</v>
      </c>
      <c r="I1549" s="6" t="n">
        <v>1336.16</v>
      </c>
      <c r="J1549" s="6" t="n">
        <v>1162.16</v>
      </c>
    </row>
    <row collapsed="false" customFormat="false" customHeight="false" hidden="false" ht="12.1" outlineLevel="0" r="1550">
      <c r="A1550" s="35" t="n">
        <v>48380</v>
      </c>
      <c r="B1550" s="16" t="s">
        <v>1375</v>
      </c>
      <c r="C1550" s="16" t="s">
        <v>145</v>
      </c>
      <c r="D1550" s="16" t="s">
        <v>146</v>
      </c>
      <c r="E1550" s="6" t="n">
        <v>1000</v>
      </c>
      <c r="F1550" s="7" t="n">
        <v>6</v>
      </c>
      <c r="G1550" s="6" t="n">
        <v>59.84</v>
      </c>
      <c r="H1550" s="6" t="n">
        <v>47</v>
      </c>
      <c r="I1550" s="6" t="n">
        <v>359.04</v>
      </c>
      <c r="J1550" s="6" t="n">
        <v>312.04</v>
      </c>
    </row>
    <row collapsed="false" customFormat="false" customHeight="false" hidden="false" ht="12.1" outlineLevel="0" r="1551">
      <c r="A1551" s="35" t="n">
        <v>48380</v>
      </c>
      <c r="B1551" s="16" t="s">
        <v>1375</v>
      </c>
      <c r="C1551" s="16" t="s">
        <v>148</v>
      </c>
      <c r="D1551" s="16" t="s">
        <v>149</v>
      </c>
      <c r="E1551" s="6" t="n">
        <v>1000</v>
      </c>
      <c r="F1551" s="7" t="n">
        <v>6</v>
      </c>
      <c r="G1551" s="6" t="n">
        <v>54.85</v>
      </c>
      <c r="H1551" s="6" t="n">
        <v>43</v>
      </c>
      <c r="I1551" s="6" t="n">
        <v>329.1</v>
      </c>
      <c r="J1551" s="6" t="n">
        <v>286.1</v>
      </c>
    </row>
    <row collapsed="false" customFormat="false" customHeight="false" hidden="false" ht="12.1" outlineLevel="0" r="1552">
      <c r="A1552" s="35" t="n">
        <v>48415</v>
      </c>
      <c r="B1552" s="16" t="s">
        <v>1375</v>
      </c>
      <c r="C1552" s="16" t="s">
        <v>84</v>
      </c>
      <c r="D1552" s="16" t="s">
        <v>86</v>
      </c>
      <c r="E1552" s="6" t="n">
        <v>1000</v>
      </c>
      <c r="F1552" s="7" t="n">
        <v>34</v>
      </c>
      <c r="G1552" s="6" t="n">
        <v>30.42</v>
      </c>
      <c r="H1552" s="6" t="n">
        <v>134</v>
      </c>
      <c r="I1552" s="6" t="n">
        <v>1034.28</v>
      </c>
      <c r="J1552" s="6" t="n">
        <v>900.28</v>
      </c>
    </row>
    <row collapsed="false" customFormat="false" customHeight="false" hidden="false" ht="12.1" outlineLevel="0" r="1553">
      <c r="A1553" s="35" t="n">
        <v>48429</v>
      </c>
      <c r="B1553" s="16" t="s">
        <v>1375</v>
      </c>
      <c r="C1553" s="16" t="s">
        <v>112</v>
      </c>
      <c r="D1553" s="16" t="s">
        <v>113</v>
      </c>
      <c r="E1553" s="6" t="n">
        <v>1000</v>
      </c>
      <c r="F1553" s="7" t="n">
        <v>19</v>
      </c>
      <c r="G1553" s="6" t="n">
        <v>34.9</v>
      </c>
      <c r="H1553" s="6" t="n">
        <v>86</v>
      </c>
      <c r="I1553" s="6" t="n">
        <v>663.1</v>
      </c>
      <c r="J1553" s="6" t="n">
        <v>577.1</v>
      </c>
    </row>
    <row collapsed="false" customFormat="false" customHeight="false" hidden="false" ht="12.1" outlineLevel="0" r="1554">
      <c r="A1554" s="35" t="n">
        <v>48471</v>
      </c>
      <c r="B1554" s="16" t="s">
        <v>1375</v>
      </c>
      <c r="C1554" s="16" t="s">
        <v>130</v>
      </c>
      <c r="D1554" s="16" t="s">
        <v>131</v>
      </c>
      <c r="E1554" s="6" t="n">
        <v>1000</v>
      </c>
      <c r="F1554" s="7" t="n">
        <v>11</v>
      </c>
      <c r="G1554" s="6" t="n">
        <v>56.1</v>
      </c>
      <c r="H1554" s="6" t="n">
        <v>80</v>
      </c>
      <c r="I1554" s="6" t="n">
        <v>617.1</v>
      </c>
      <c r="J1554" s="6" t="n">
        <v>537.1</v>
      </c>
    </row>
    <row collapsed="false" customFormat="false" customHeight="false" hidden="false" ht="12.1" outlineLevel="0" r="1555">
      <c r="A1555" s="35" t="n">
        <v>48471</v>
      </c>
      <c r="B1555" s="16" t="s">
        <v>1375</v>
      </c>
      <c r="C1555" s="16" t="s">
        <v>97</v>
      </c>
      <c r="D1555" s="16" t="s">
        <v>98</v>
      </c>
      <c r="E1555" s="6" t="n">
        <v>1000</v>
      </c>
      <c r="F1555" s="7" t="n">
        <v>14</v>
      </c>
      <c r="G1555" s="6" t="n">
        <v>59.84</v>
      </c>
      <c r="H1555" s="6" t="n">
        <v>109</v>
      </c>
      <c r="I1555" s="6" t="n">
        <v>837.76</v>
      </c>
      <c r="J1555" s="6" t="n">
        <v>728.76</v>
      </c>
    </row>
    <row collapsed="false" customFormat="false" customHeight="false" hidden="false" ht="12.1" outlineLevel="0" r="1556">
      <c r="A1556" s="35" t="n">
        <v>48478</v>
      </c>
      <c r="B1556" s="16" t="s">
        <v>1375</v>
      </c>
      <c r="C1556" s="16" t="s">
        <v>127</v>
      </c>
      <c r="D1556" s="16" t="s">
        <v>128</v>
      </c>
      <c r="E1556" s="6" t="n">
        <v>1000</v>
      </c>
      <c r="F1556" s="7" t="n">
        <v>14</v>
      </c>
      <c r="G1556" s="6" t="n">
        <v>38.39</v>
      </c>
      <c r="H1556" s="6" t="n">
        <v>70</v>
      </c>
      <c r="I1556" s="6" t="n">
        <v>537.46</v>
      </c>
      <c r="J1556" s="6" t="n">
        <v>467.46</v>
      </c>
    </row>
    <row collapsed="false" customFormat="false" customHeight="false" hidden="false" ht="12.1" outlineLevel="0" r="1557">
      <c r="A1557" s="35" t="n">
        <v>48478</v>
      </c>
      <c r="B1557" s="16" t="s">
        <v>1375</v>
      </c>
      <c r="C1557" s="16" t="s">
        <v>106</v>
      </c>
      <c r="D1557" s="16" t="s">
        <v>107</v>
      </c>
      <c r="E1557" s="6" t="n">
        <v>1000</v>
      </c>
      <c r="F1557" s="7" t="n">
        <v>18</v>
      </c>
      <c r="G1557" s="6" t="n">
        <v>38.39</v>
      </c>
      <c r="H1557" s="6" t="n">
        <v>90</v>
      </c>
      <c r="I1557" s="6" t="n">
        <v>691.02</v>
      </c>
      <c r="J1557" s="6" t="n">
        <v>601.02</v>
      </c>
    </row>
    <row collapsed="false" customFormat="false" customHeight="false" hidden="false" ht="12.1" outlineLevel="0" r="1558">
      <c r="A1558" s="35" t="n">
        <v>48485</v>
      </c>
      <c r="B1558" s="16" t="s">
        <v>1375</v>
      </c>
      <c r="C1558" s="16" t="s">
        <v>121</v>
      </c>
      <c r="D1558" s="16" t="s">
        <v>122</v>
      </c>
      <c r="E1558" s="6" t="n">
        <v>1000</v>
      </c>
      <c r="F1558" s="7" t="n">
        <v>12</v>
      </c>
      <c r="G1558" s="6" t="n">
        <v>59.84</v>
      </c>
      <c r="H1558" s="6" t="n">
        <v>93</v>
      </c>
      <c r="I1558" s="6" t="n">
        <v>718.08</v>
      </c>
      <c r="J1558" s="6" t="n">
        <v>625.08</v>
      </c>
    </row>
    <row collapsed="false" customFormat="false" customHeight="false" hidden="false" ht="12.1" outlineLevel="0" r="1559">
      <c r="A1559" s="35" t="n">
        <v>48499</v>
      </c>
      <c r="B1559" s="16" t="s">
        <v>1375</v>
      </c>
      <c r="C1559" s="16" t="s">
        <v>205</v>
      </c>
      <c r="D1559" s="16" t="s">
        <v>206</v>
      </c>
      <c r="E1559" s="6" t="n">
        <v>1000</v>
      </c>
      <c r="F1559" s="7" t="n">
        <v>2</v>
      </c>
      <c r="G1559" s="6" t="n">
        <v>64.82</v>
      </c>
      <c r="H1559" s="6" t="n">
        <v>17</v>
      </c>
      <c r="I1559" s="6" t="n">
        <v>129.64</v>
      </c>
      <c r="J1559" s="6" t="n">
        <v>112.64</v>
      </c>
    </row>
    <row collapsed="false" customFormat="false" customHeight="false" hidden="false" ht="12.1" outlineLevel="0" r="1560">
      <c r="A1560" s="35" t="n">
        <v>48499</v>
      </c>
      <c r="B1560" s="16" t="s">
        <v>1375</v>
      </c>
      <c r="C1560" s="16" t="s">
        <v>169</v>
      </c>
      <c r="D1560" s="16" t="s">
        <v>170</v>
      </c>
      <c r="E1560" s="6" t="n">
        <v>1000</v>
      </c>
      <c r="F1560" s="7" t="n">
        <v>3</v>
      </c>
      <c r="G1560" s="6" t="n">
        <v>62.33</v>
      </c>
      <c r="H1560" s="6" t="n">
        <v>24</v>
      </c>
      <c r="I1560" s="6" t="n">
        <v>186.99</v>
      </c>
      <c r="J1560" s="6" t="n">
        <v>162.99</v>
      </c>
    </row>
    <row collapsed="false" customFormat="false" customHeight="false" hidden="false" ht="12.1" outlineLevel="0" r="1561">
      <c r="A1561" s="35" t="n">
        <v>48499</v>
      </c>
      <c r="B1561" s="16" t="s">
        <v>1375</v>
      </c>
      <c r="C1561" s="16" t="s">
        <v>208</v>
      </c>
      <c r="D1561" s="16" t="s">
        <v>209</v>
      </c>
      <c r="E1561" s="6" t="n">
        <v>1000</v>
      </c>
      <c r="F1561" s="7" t="n">
        <v>2</v>
      </c>
      <c r="G1561" s="6" t="n">
        <v>64.82</v>
      </c>
      <c r="H1561" s="6" t="n">
        <v>17</v>
      </c>
      <c r="I1561" s="6" t="n">
        <v>129.64</v>
      </c>
      <c r="J1561" s="6" t="n">
        <v>112.64</v>
      </c>
    </row>
    <row collapsed="false" customFormat="false" customHeight="false" hidden="false" ht="12.1" outlineLevel="0" r="1562">
      <c r="A1562" s="35" t="n">
        <v>48527</v>
      </c>
      <c r="B1562" s="16" t="s">
        <v>1375</v>
      </c>
      <c r="C1562" s="16" t="s">
        <v>139</v>
      </c>
      <c r="D1562" s="16" t="s">
        <v>140</v>
      </c>
      <c r="E1562" s="6" t="n">
        <v>1242.73</v>
      </c>
      <c r="F1562" s="7" t="n">
        <v>6</v>
      </c>
      <c r="G1562" s="6" t="n">
        <v>15.55</v>
      </c>
      <c r="H1562" s="6" t="n">
        <v>12</v>
      </c>
      <c r="I1562" s="6" t="n">
        <v>93.3</v>
      </c>
      <c r="J1562" s="6" t="n">
        <v>81.3</v>
      </c>
    </row>
    <row collapsed="false" customFormat="false" customHeight="false" hidden="false" ht="12.1" outlineLevel="0" r="1563">
      <c r="A1563" s="35" t="n">
        <v>48527</v>
      </c>
      <c r="B1563" s="16" t="s">
        <v>1375</v>
      </c>
      <c r="C1563" s="16" t="s">
        <v>136</v>
      </c>
      <c r="D1563" s="16" t="s">
        <v>137</v>
      </c>
      <c r="E1563" s="6" t="n">
        <v>1000</v>
      </c>
      <c r="F1563" s="7" t="n">
        <v>14</v>
      </c>
      <c r="G1563" s="6" t="n">
        <v>36.15</v>
      </c>
      <c r="H1563" s="6" t="n">
        <v>66</v>
      </c>
      <c r="I1563" s="6" t="n">
        <v>506.1</v>
      </c>
      <c r="J1563" s="6" t="n">
        <v>440.1</v>
      </c>
    </row>
    <row collapsed="false" customFormat="false" customHeight="false" hidden="false" ht="12.1" outlineLevel="0" r="1564">
      <c r="A1564" s="35" t="n">
        <v>48534</v>
      </c>
      <c r="B1564" s="16" t="s">
        <v>1375</v>
      </c>
      <c r="C1564" s="16" t="s">
        <v>115</v>
      </c>
      <c r="D1564" s="16" t="s">
        <v>116</v>
      </c>
      <c r="E1564" s="6" t="n">
        <v>1000</v>
      </c>
      <c r="F1564" s="7" t="n">
        <v>13</v>
      </c>
      <c r="G1564" s="6" t="n">
        <v>61.08</v>
      </c>
      <c r="H1564" s="6" t="n">
        <v>103</v>
      </c>
      <c r="I1564" s="6" t="n">
        <v>794.04</v>
      </c>
      <c r="J1564" s="6" t="n">
        <v>691.04</v>
      </c>
    </row>
    <row collapsed="false" customFormat="false" customHeight="false" hidden="false" ht="12.1" outlineLevel="0" r="1565">
      <c r="A1565" s="35" t="n">
        <v>48534</v>
      </c>
      <c r="B1565" s="16" t="s">
        <v>1375</v>
      </c>
      <c r="C1565" s="16" t="s">
        <v>118</v>
      </c>
      <c r="D1565" s="16" t="s">
        <v>119</v>
      </c>
      <c r="E1565" s="6" t="n">
        <v>1000</v>
      </c>
      <c r="F1565" s="7" t="n">
        <v>14</v>
      </c>
      <c r="G1565" s="6" t="n">
        <v>47.37</v>
      </c>
      <c r="H1565" s="6" t="n">
        <v>86</v>
      </c>
      <c r="I1565" s="6" t="n">
        <v>663.18</v>
      </c>
      <c r="J1565" s="6" t="n">
        <v>577.18</v>
      </c>
    </row>
    <row collapsed="false" customFormat="false" customHeight="false" hidden="false" ht="12.1" outlineLevel="0" r="1566">
      <c r="A1566" s="35" t="n">
        <v>48541</v>
      </c>
      <c r="B1566" s="16" t="s">
        <v>1375</v>
      </c>
      <c r="C1566" s="16" t="s">
        <v>94</v>
      </c>
      <c r="D1566" s="16" t="s">
        <v>95</v>
      </c>
      <c r="E1566" s="6" t="n">
        <v>1000</v>
      </c>
      <c r="F1566" s="7" t="n">
        <v>23</v>
      </c>
      <c r="G1566" s="6" t="n">
        <v>35.4</v>
      </c>
      <c r="H1566" s="6" t="n">
        <v>106</v>
      </c>
      <c r="I1566" s="6" t="n">
        <v>814.2</v>
      </c>
      <c r="J1566" s="6" t="n">
        <v>708.2</v>
      </c>
    </row>
    <row collapsed="false" customFormat="false" customHeight="false" hidden="false" ht="12.1" outlineLevel="0" r="1567">
      <c r="A1567" s="35" t="n">
        <v>48541</v>
      </c>
      <c r="B1567" s="16" t="s">
        <v>1375</v>
      </c>
      <c r="C1567" s="16" t="s">
        <v>100</v>
      </c>
      <c r="D1567" s="16" t="s">
        <v>101</v>
      </c>
      <c r="E1567" s="6" t="n">
        <v>1000</v>
      </c>
      <c r="F1567" s="7" t="n">
        <v>14</v>
      </c>
      <c r="G1567" s="6" t="n">
        <v>61.08</v>
      </c>
      <c r="H1567" s="6" t="n">
        <v>111</v>
      </c>
      <c r="I1567" s="6" t="n">
        <v>855.12</v>
      </c>
      <c r="J1567" s="6" t="n">
        <v>744.12</v>
      </c>
    </row>
    <row collapsed="false" customFormat="false" customHeight="false" hidden="false" ht="12.1" outlineLevel="0" r="1568">
      <c r="A1568" s="35" t="n">
        <v>48541</v>
      </c>
      <c r="B1568" s="16" t="s">
        <v>1375</v>
      </c>
      <c r="C1568" s="16" t="s">
        <v>91</v>
      </c>
      <c r="D1568" s="16" t="s">
        <v>92</v>
      </c>
      <c r="E1568" s="6" t="n">
        <v>1000</v>
      </c>
      <c r="F1568" s="7" t="n">
        <v>19</v>
      </c>
      <c r="G1568" s="6" t="n">
        <v>48.87</v>
      </c>
      <c r="H1568" s="6" t="n">
        <v>121</v>
      </c>
      <c r="I1568" s="6" t="n">
        <v>928.53</v>
      </c>
      <c r="J1568" s="6" t="n">
        <v>807.53</v>
      </c>
    </row>
    <row collapsed="false" customFormat="false" customHeight="false" hidden="false" ht="12.1" outlineLevel="0" r="1569">
      <c r="A1569" s="35" t="n">
        <v>48555</v>
      </c>
      <c r="B1569" s="16" t="s">
        <v>1375</v>
      </c>
      <c r="C1569" s="16" t="s">
        <v>88</v>
      </c>
      <c r="D1569" s="16" t="s">
        <v>89</v>
      </c>
      <c r="E1569" s="6" t="n">
        <v>1000</v>
      </c>
      <c r="F1569" s="7" t="n">
        <v>14</v>
      </c>
      <c r="G1569" s="6" t="n">
        <v>95.44</v>
      </c>
      <c r="H1569" s="6" t="n">
        <v>174</v>
      </c>
      <c r="I1569" s="6" t="n">
        <v>1336.16</v>
      </c>
      <c r="J1569" s="6" t="n">
        <v>1162.16</v>
      </c>
    </row>
    <row collapsed="false" customFormat="false" customHeight="false" hidden="false" ht="12.1" outlineLevel="0" r="1570">
      <c r="A1570" s="35" t="n">
        <v>48562</v>
      </c>
      <c r="B1570" s="16" t="s">
        <v>1375</v>
      </c>
      <c r="C1570" s="16" t="s">
        <v>145</v>
      </c>
      <c r="D1570" s="16" t="s">
        <v>146</v>
      </c>
      <c r="E1570" s="6" t="n">
        <v>1000</v>
      </c>
      <c r="F1570" s="7" t="n">
        <v>6</v>
      </c>
      <c r="G1570" s="6" t="n">
        <v>59.84</v>
      </c>
      <c r="H1570" s="6" t="n">
        <v>47</v>
      </c>
      <c r="I1570" s="6" t="n">
        <v>359.04</v>
      </c>
      <c r="J1570" s="6" t="n">
        <v>312.04</v>
      </c>
    </row>
    <row collapsed="false" customFormat="false" customHeight="false" hidden="false" ht="12.1" outlineLevel="0" r="1571">
      <c r="A1571" s="35" t="n">
        <v>48597</v>
      </c>
      <c r="B1571" s="16" t="s">
        <v>1375</v>
      </c>
      <c r="C1571" s="16" t="s">
        <v>84</v>
      </c>
      <c r="D1571" s="16" t="s">
        <v>86</v>
      </c>
      <c r="E1571" s="6" t="n">
        <v>1000</v>
      </c>
      <c r="F1571" s="7" t="n">
        <v>34</v>
      </c>
      <c r="G1571" s="6" t="n">
        <v>30.42</v>
      </c>
      <c r="H1571" s="6" t="n">
        <v>134</v>
      </c>
      <c r="I1571" s="6" t="n">
        <v>1034.28</v>
      </c>
      <c r="J1571" s="6" t="n">
        <v>900.28</v>
      </c>
    </row>
    <row collapsed="false" customFormat="false" customHeight="false" hidden="false" ht="12.1" outlineLevel="0" r="1572">
      <c r="A1572" s="35" t="n">
        <v>48611</v>
      </c>
      <c r="B1572" s="16" t="s">
        <v>1375</v>
      </c>
      <c r="C1572" s="16" t="s">
        <v>112</v>
      </c>
      <c r="D1572" s="16" t="s">
        <v>113</v>
      </c>
      <c r="E1572" s="6" t="n">
        <v>1000</v>
      </c>
      <c r="F1572" s="7" t="n">
        <v>19</v>
      </c>
      <c r="G1572" s="6" t="n">
        <v>34.9</v>
      </c>
      <c r="H1572" s="6" t="n">
        <v>86</v>
      </c>
      <c r="I1572" s="6" t="n">
        <v>663.1</v>
      </c>
      <c r="J1572" s="6" t="n">
        <v>577.1</v>
      </c>
    </row>
    <row collapsed="false" customFormat="false" customHeight="false" hidden="false" ht="12.1" outlineLevel="0" r="1573">
      <c r="A1573" s="35" t="n">
        <v>48653</v>
      </c>
      <c r="B1573" s="16" t="s">
        <v>1375</v>
      </c>
      <c r="C1573" s="16" t="s">
        <v>130</v>
      </c>
      <c r="D1573" s="16" t="s">
        <v>131</v>
      </c>
      <c r="E1573" s="6" t="n">
        <v>1000</v>
      </c>
      <c r="F1573" s="7" t="n">
        <v>11</v>
      </c>
      <c r="G1573" s="6" t="n">
        <v>56.1</v>
      </c>
      <c r="H1573" s="6" t="n">
        <v>80</v>
      </c>
      <c r="I1573" s="6" t="n">
        <v>617.1</v>
      </c>
      <c r="J1573" s="6" t="n">
        <v>537.1</v>
      </c>
    </row>
    <row collapsed="false" customFormat="false" customHeight="false" hidden="false" ht="12.1" outlineLevel="0" r="1574">
      <c r="A1574" s="35" t="n">
        <v>48653</v>
      </c>
      <c r="B1574" s="16" t="s">
        <v>1375</v>
      </c>
      <c r="C1574" s="16" t="s">
        <v>97</v>
      </c>
      <c r="D1574" s="16" t="s">
        <v>98</v>
      </c>
      <c r="E1574" s="6" t="n">
        <v>1000</v>
      </c>
      <c r="F1574" s="7" t="n">
        <v>14</v>
      </c>
      <c r="G1574" s="6" t="n">
        <v>59.84</v>
      </c>
      <c r="H1574" s="6" t="n">
        <v>109</v>
      </c>
      <c r="I1574" s="6" t="n">
        <v>837.76</v>
      </c>
      <c r="J1574" s="6" t="n">
        <v>728.76</v>
      </c>
    </row>
    <row collapsed="false" customFormat="false" customHeight="false" hidden="false" ht="12.1" outlineLevel="0" r="1575">
      <c r="A1575" s="35" t="n">
        <v>48660</v>
      </c>
      <c r="B1575" s="16" t="s">
        <v>1375</v>
      </c>
      <c r="C1575" s="16" t="s">
        <v>127</v>
      </c>
      <c r="D1575" s="16" t="s">
        <v>128</v>
      </c>
      <c r="E1575" s="6" t="n">
        <v>1000</v>
      </c>
      <c r="F1575" s="7" t="n">
        <v>14</v>
      </c>
      <c r="G1575" s="6" t="n">
        <v>38.39</v>
      </c>
      <c r="H1575" s="6" t="n">
        <v>70</v>
      </c>
      <c r="I1575" s="6" t="n">
        <v>537.46</v>
      </c>
      <c r="J1575" s="6" t="n">
        <v>467.46</v>
      </c>
    </row>
    <row collapsed="false" customFormat="false" customHeight="false" hidden="false" ht="12.1" outlineLevel="0" r="1576">
      <c r="A1576" s="35" t="n">
        <v>48660</v>
      </c>
      <c r="B1576" s="16" t="s">
        <v>1375</v>
      </c>
      <c r="C1576" s="16" t="s">
        <v>106</v>
      </c>
      <c r="D1576" s="16" t="s">
        <v>107</v>
      </c>
      <c r="E1576" s="6" t="n">
        <v>1000</v>
      </c>
      <c r="F1576" s="7" t="n">
        <v>18</v>
      </c>
      <c r="G1576" s="6" t="n">
        <v>38.39</v>
      </c>
      <c r="H1576" s="6" t="n">
        <v>90</v>
      </c>
      <c r="I1576" s="6" t="n">
        <v>691.02</v>
      </c>
      <c r="J1576" s="6" t="n">
        <v>601.02</v>
      </c>
    </row>
    <row collapsed="false" customFormat="false" customHeight="false" hidden="false" ht="12.1" outlineLevel="0" r="1577">
      <c r="A1577" s="35" t="n">
        <v>48667</v>
      </c>
      <c r="B1577" s="16" t="s">
        <v>1375</v>
      </c>
      <c r="C1577" s="16" t="s">
        <v>121</v>
      </c>
      <c r="D1577" s="16" t="s">
        <v>122</v>
      </c>
      <c r="E1577" s="6" t="n">
        <v>1000</v>
      </c>
      <c r="F1577" s="7" t="n">
        <v>12</v>
      </c>
      <c r="G1577" s="6" t="n">
        <v>59.84</v>
      </c>
      <c r="H1577" s="6" t="n">
        <v>93</v>
      </c>
      <c r="I1577" s="6" t="n">
        <v>718.08</v>
      </c>
      <c r="J1577" s="6" t="n">
        <v>625.08</v>
      </c>
    </row>
    <row collapsed="false" customFormat="false" customHeight="false" hidden="false" ht="12.1" outlineLevel="0" r="1578">
      <c r="A1578" s="35" t="n">
        <v>48681</v>
      </c>
      <c r="B1578" s="16" t="s">
        <v>1375</v>
      </c>
      <c r="C1578" s="16" t="s">
        <v>205</v>
      </c>
      <c r="D1578" s="16" t="s">
        <v>206</v>
      </c>
      <c r="E1578" s="6" t="n">
        <v>1000</v>
      </c>
      <c r="F1578" s="7" t="n">
        <v>2</v>
      </c>
      <c r="G1578" s="6" t="n">
        <v>64.82</v>
      </c>
      <c r="H1578" s="6" t="n">
        <v>17</v>
      </c>
      <c r="I1578" s="6" t="n">
        <v>129.64</v>
      </c>
      <c r="J1578" s="6" t="n">
        <v>112.64</v>
      </c>
    </row>
    <row collapsed="false" customFormat="false" customHeight="false" hidden="false" ht="12.1" outlineLevel="0" r="1579">
      <c r="A1579" s="35" t="n">
        <v>48681</v>
      </c>
      <c r="B1579" s="16" t="s">
        <v>1375</v>
      </c>
      <c r="C1579" s="16" t="s">
        <v>169</v>
      </c>
      <c r="D1579" s="16" t="s">
        <v>170</v>
      </c>
      <c r="E1579" s="6" t="n">
        <v>1000</v>
      </c>
      <c r="F1579" s="7" t="n">
        <v>3</v>
      </c>
      <c r="G1579" s="6" t="n">
        <v>62.33</v>
      </c>
      <c r="H1579" s="6" t="n">
        <v>24</v>
      </c>
      <c r="I1579" s="6" t="n">
        <v>186.99</v>
      </c>
      <c r="J1579" s="6" t="n">
        <v>162.99</v>
      </c>
    </row>
    <row collapsed="false" customFormat="false" customHeight="false" hidden="false" ht="12.1" outlineLevel="0" r="1580">
      <c r="A1580" s="35" t="n">
        <v>48681</v>
      </c>
      <c r="B1580" s="16" t="s">
        <v>1375</v>
      </c>
      <c r="C1580" s="16" t="s">
        <v>208</v>
      </c>
      <c r="D1580" s="16" t="s">
        <v>209</v>
      </c>
      <c r="E1580" s="6" t="n">
        <v>1000</v>
      </c>
      <c r="F1580" s="7" t="n">
        <v>2</v>
      </c>
      <c r="G1580" s="6" t="n">
        <v>64.82</v>
      </c>
      <c r="H1580" s="6" t="n">
        <v>17</v>
      </c>
      <c r="I1580" s="6" t="n">
        <v>129.64</v>
      </c>
      <c r="J1580" s="6" t="n">
        <v>112.64</v>
      </c>
    </row>
    <row collapsed="false" customFormat="false" customHeight="false" hidden="false" ht="12.1" outlineLevel="0" r="1581">
      <c r="A1581" s="35" t="n">
        <v>48709</v>
      </c>
      <c r="B1581" s="16" t="s">
        <v>1375</v>
      </c>
      <c r="C1581" s="16" t="s">
        <v>139</v>
      </c>
      <c r="D1581" s="16" t="s">
        <v>140</v>
      </c>
      <c r="E1581" s="6" t="n">
        <v>1242.73</v>
      </c>
      <c r="F1581" s="7" t="n">
        <v>6</v>
      </c>
      <c r="G1581" s="6" t="n">
        <v>15.55</v>
      </c>
      <c r="H1581" s="6" t="n">
        <v>12</v>
      </c>
      <c r="I1581" s="6" t="n">
        <v>93.3</v>
      </c>
      <c r="J1581" s="6" t="n">
        <v>81.3</v>
      </c>
    </row>
    <row collapsed="false" customFormat="false" customHeight="false" hidden="false" ht="12.1" outlineLevel="0" r="1582">
      <c r="A1582" s="35" t="n">
        <v>48709</v>
      </c>
      <c r="B1582" s="16" t="s">
        <v>1375</v>
      </c>
      <c r="C1582" s="16" t="s">
        <v>136</v>
      </c>
      <c r="D1582" s="16" t="s">
        <v>137</v>
      </c>
      <c r="E1582" s="6" t="n">
        <v>1000</v>
      </c>
      <c r="F1582" s="7" t="n">
        <v>14</v>
      </c>
      <c r="G1582" s="6" t="n">
        <v>36.15</v>
      </c>
      <c r="H1582" s="6" t="n">
        <v>66</v>
      </c>
      <c r="I1582" s="6" t="n">
        <v>506.1</v>
      </c>
      <c r="J1582" s="6" t="n">
        <v>440.1</v>
      </c>
    </row>
    <row collapsed="false" customFormat="false" customHeight="false" hidden="false" ht="12.1" outlineLevel="0" r="1583">
      <c r="A1583" s="35" t="n">
        <v>48716</v>
      </c>
      <c r="B1583" s="16" t="s">
        <v>1375</v>
      </c>
      <c r="C1583" s="16" t="s">
        <v>115</v>
      </c>
      <c r="D1583" s="16" t="s">
        <v>116</v>
      </c>
      <c r="E1583" s="6" t="n">
        <v>1000</v>
      </c>
      <c r="F1583" s="7" t="n">
        <v>13</v>
      </c>
      <c r="G1583" s="6" t="n">
        <v>61.08</v>
      </c>
      <c r="H1583" s="6" t="n">
        <v>103</v>
      </c>
      <c r="I1583" s="6" t="n">
        <v>794.04</v>
      </c>
      <c r="J1583" s="6" t="n">
        <v>691.04</v>
      </c>
    </row>
    <row collapsed="false" customFormat="false" customHeight="false" hidden="false" ht="12.1" outlineLevel="0" r="1584">
      <c r="A1584" s="35" t="n">
        <v>48723</v>
      </c>
      <c r="B1584" s="16" t="s">
        <v>1375</v>
      </c>
      <c r="C1584" s="16" t="s">
        <v>100</v>
      </c>
      <c r="D1584" s="16" t="s">
        <v>101</v>
      </c>
      <c r="E1584" s="6" t="n">
        <v>1000</v>
      </c>
      <c r="F1584" s="7" t="n">
        <v>14</v>
      </c>
      <c r="G1584" s="6" t="n">
        <v>61.08</v>
      </c>
      <c r="H1584" s="6" t="n">
        <v>111</v>
      </c>
      <c r="I1584" s="6" t="n">
        <v>855.12</v>
      </c>
      <c r="J1584" s="6" t="n">
        <v>744.12</v>
      </c>
    </row>
    <row collapsed="false" customFormat="false" customHeight="false" hidden="false" ht="12.1" outlineLevel="0" r="1585">
      <c r="A1585" s="35" t="n">
        <v>48723</v>
      </c>
      <c r="B1585" s="16" t="s">
        <v>1375</v>
      </c>
      <c r="C1585" s="16" t="s">
        <v>94</v>
      </c>
      <c r="D1585" s="16" t="s">
        <v>95</v>
      </c>
      <c r="E1585" s="6" t="n">
        <v>1000</v>
      </c>
      <c r="F1585" s="7" t="n">
        <v>23</v>
      </c>
      <c r="G1585" s="6" t="n">
        <v>35.4</v>
      </c>
      <c r="H1585" s="6" t="n">
        <v>106</v>
      </c>
      <c r="I1585" s="6" t="n">
        <v>814.2</v>
      </c>
      <c r="J1585" s="6" t="n">
        <v>708.2</v>
      </c>
    </row>
    <row collapsed="false" customFormat="false" customHeight="false" hidden="false" ht="12.1" outlineLevel="0" r="1586">
      <c r="A1586" s="35" t="n">
        <v>48723</v>
      </c>
      <c r="B1586" s="16" t="s">
        <v>1375</v>
      </c>
      <c r="C1586" s="16" t="s">
        <v>91</v>
      </c>
      <c r="D1586" s="16" t="s">
        <v>92</v>
      </c>
      <c r="E1586" s="6" t="n">
        <v>1000</v>
      </c>
      <c r="F1586" s="7" t="n">
        <v>19</v>
      </c>
      <c r="G1586" s="6" t="n">
        <v>48.87</v>
      </c>
      <c r="H1586" s="6" t="n">
        <v>121</v>
      </c>
      <c r="I1586" s="6" t="n">
        <v>928.53</v>
      </c>
      <c r="J1586" s="6" t="n">
        <v>807.53</v>
      </c>
    </row>
    <row collapsed="false" customFormat="false" customHeight="false" hidden="false" ht="12.1" outlineLevel="0" r="1587">
      <c r="A1587" s="35" t="n">
        <v>48737</v>
      </c>
      <c r="B1587" s="16" t="s">
        <v>1375</v>
      </c>
      <c r="C1587" s="16" t="s">
        <v>88</v>
      </c>
      <c r="D1587" s="16" t="s">
        <v>89</v>
      </c>
      <c r="E1587" s="6" t="n">
        <v>1000</v>
      </c>
      <c r="F1587" s="7" t="n">
        <v>14</v>
      </c>
      <c r="G1587" s="6" t="n">
        <v>95.44</v>
      </c>
      <c r="H1587" s="6" t="n">
        <v>174</v>
      </c>
      <c r="I1587" s="6" t="n">
        <v>1336.16</v>
      </c>
      <c r="J1587" s="6" t="n">
        <v>1162.16</v>
      </c>
    </row>
    <row collapsed="false" customFormat="false" customHeight="false" hidden="false" ht="12.1" outlineLevel="0" r="1588">
      <c r="A1588" s="35" t="n">
        <v>48744</v>
      </c>
      <c r="B1588" s="16" t="s">
        <v>1375</v>
      </c>
      <c r="C1588" s="16" t="s">
        <v>145</v>
      </c>
      <c r="D1588" s="16" t="s">
        <v>146</v>
      </c>
      <c r="E1588" s="6" t="n">
        <v>1000</v>
      </c>
      <c r="F1588" s="7" t="n">
        <v>6</v>
      </c>
      <c r="G1588" s="6" t="n">
        <v>59.84</v>
      </c>
      <c r="H1588" s="6" t="n">
        <v>47</v>
      </c>
      <c r="I1588" s="6" t="n">
        <v>359.04</v>
      </c>
      <c r="J1588" s="6" t="n">
        <v>312.04</v>
      </c>
    </row>
    <row collapsed="false" customFormat="false" customHeight="false" hidden="false" ht="12.1" outlineLevel="0" r="1589">
      <c r="A1589" s="35" t="n">
        <v>48779</v>
      </c>
      <c r="B1589" s="16" t="s">
        <v>1375</v>
      </c>
      <c r="C1589" s="16" t="s">
        <v>84</v>
      </c>
      <c r="D1589" s="16" t="s">
        <v>86</v>
      </c>
      <c r="E1589" s="6" t="n">
        <v>1000</v>
      </c>
      <c r="F1589" s="7" t="n">
        <v>34</v>
      </c>
      <c r="G1589" s="6" t="n">
        <v>30.42</v>
      </c>
      <c r="H1589" s="6" t="n">
        <v>134</v>
      </c>
      <c r="I1589" s="6" t="n">
        <v>1034.28</v>
      </c>
      <c r="J1589" s="6" t="n">
        <v>900.28</v>
      </c>
    </row>
    <row collapsed="false" customFormat="false" customHeight="false" hidden="false" ht="12.1" outlineLevel="0" r="1590">
      <c r="A1590" s="35" t="n">
        <v>48793</v>
      </c>
      <c r="B1590" s="16" t="s">
        <v>1375</v>
      </c>
      <c r="C1590" s="16" t="s">
        <v>112</v>
      </c>
      <c r="D1590" s="16" t="s">
        <v>113</v>
      </c>
      <c r="E1590" s="6" t="n">
        <v>1000</v>
      </c>
      <c r="F1590" s="7" t="n">
        <v>19</v>
      </c>
      <c r="G1590" s="6" t="n">
        <v>34.9</v>
      </c>
      <c r="H1590" s="6" t="n">
        <v>86</v>
      </c>
      <c r="I1590" s="6" t="n">
        <v>663.1</v>
      </c>
      <c r="J1590" s="6" t="n">
        <v>577.1</v>
      </c>
    </row>
    <row collapsed="false" customFormat="false" customHeight="false" hidden="false" ht="12.1" outlineLevel="0" r="1591">
      <c r="A1591" s="35" t="n">
        <v>48835</v>
      </c>
      <c r="B1591" s="16" t="s">
        <v>1375</v>
      </c>
      <c r="C1591" s="16" t="s">
        <v>97</v>
      </c>
      <c r="D1591" s="16" t="s">
        <v>98</v>
      </c>
      <c r="E1591" s="6" t="n">
        <v>1000</v>
      </c>
      <c r="F1591" s="7" t="n">
        <v>14</v>
      </c>
      <c r="G1591" s="6" t="n">
        <v>59.84</v>
      </c>
      <c r="H1591" s="6" t="n">
        <v>109</v>
      </c>
      <c r="I1591" s="6" t="n">
        <v>837.76</v>
      </c>
      <c r="J1591" s="6" t="n">
        <v>728.76</v>
      </c>
    </row>
    <row collapsed="false" customFormat="false" customHeight="false" hidden="false" ht="12.1" outlineLevel="0" r="1592">
      <c r="A1592" s="35" t="n">
        <v>48835</v>
      </c>
      <c r="B1592" s="16" t="s">
        <v>1375</v>
      </c>
      <c r="C1592" s="16" t="s">
        <v>130</v>
      </c>
      <c r="D1592" s="16" t="s">
        <v>131</v>
      </c>
      <c r="E1592" s="6" t="n">
        <v>1000</v>
      </c>
      <c r="F1592" s="7" t="n">
        <v>11</v>
      </c>
      <c r="G1592" s="6" t="n">
        <v>56.1</v>
      </c>
      <c r="H1592" s="6" t="n">
        <v>80</v>
      </c>
      <c r="I1592" s="6" t="n">
        <v>617.1</v>
      </c>
      <c r="J1592" s="6" t="n">
        <v>537.1</v>
      </c>
    </row>
    <row collapsed="false" customFormat="false" customHeight="false" hidden="false" ht="12.1" outlineLevel="0" r="1593">
      <c r="A1593" s="35" t="n">
        <v>48842</v>
      </c>
      <c r="B1593" s="16" t="s">
        <v>1375</v>
      </c>
      <c r="C1593" s="16" t="s">
        <v>106</v>
      </c>
      <c r="D1593" s="16" t="s">
        <v>107</v>
      </c>
      <c r="E1593" s="6" t="n">
        <v>1000</v>
      </c>
      <c r="F1593" s="7" t="n">
        <v>18</v>
      </c>
      <c r="G1593" s="6" t="n">
        <v>38.39</v>
      </c>
      <c r="H1593" s="6" t="n">
        <v>90</v>
      </c>
      <c r="I1593" s="6" t="n">
        <v>691.02</v>
      </c>
      <c r="J1593" s="6" t="n">
        <v>601.02</v>
      </c>
    </row>
    <row collapsed="false" customFormat="false" customHeight="false" hidden="false" ht="12.1" outlineLevel="0" r="1594">
      <c r="A1594" s="35" t="n">
        <v>48849</v>
      </c>
      <c r="B1594" s="16" t="s">
        <v>1375</v>
      </c>
      <c r="C1594" s="16" t="s">
        <v>121</v>
      </c>
      <c r="D1594" s="16" t="s">
        <v>122</v>
      </c>
      <c r="E1594" s="6" t="n">
        <v>1000</v>
      </c>
      <c r="F1594" s="7" t="n">
        <v>12</v>
      </c>
      <c r="G1594" s="6" t="n">
        <v>59.84</v>
      </c>
      <c r="H1594" s="6" t="n">
        <v>93</v>
      </c>
      <c r="I1594" s="6" t="n">
        <v>718.08</v>
      </c>
      <c r="J1594" s="6" t="n">
        <v>625.08</v>
      </c>
    </row>
    <row collapsed="false" customFormat="false" customHeight="false" hidden="false" ht="12.1" outlineLevel="0" r="1595">
      <c r="A1595" s="35" t="n">
        <v>48863</v>
      </c>
      <c r="B1595" s="16" t="s">
        <v>1375</v>
      </c>
      <c r="C1595" s="16" t="s">
        <v>205</v>
      </c>
      <c r="D1595" s="16" t="s">
        <v>206</v>
      </c>
      <c r="E1595" s="6" t="n">
        <v>1000</v>
      </c>
      <c r="F1595" s="7" t="n">
        <v>2</v>
      </c>
      <c r="G1595" s="6" t="n">
        <v>64.82</v>
      </c>
      <c r="H1595" s="6" t="n">
        <v>17</v>
      </c>
      <c r="I1595" s="6" t="n">
        <v>129.64</v>
      </c>
      <c r="J1595" s="6" t="n">
        <v>112.64</v>
      </c>
    </row>
    <row collapsed="false" customFormat="false" customHeight="false" hidden="false" ht="12.1" outlineLevel="0" r="1596">
      <c r="A1596" s="35" t="n">
        <v>48863</v>
      </c>
      <c r="B1596" s="16" t="s">
        <v>1375</v>
      </c>
      <c r="C1596" s="16" t="s">
        <v>208</v>
      </c>
      <c r="D1596" s="16" t="s">
        <v>209</v>
      </c>
      <c r="E1596" s="6" t="n">
        <v>1000</v>
      </c>
      <c r="F1596" s="7" t="n">
        <v>2</v>
      </c>
      <c r="G1596" s="6" t="n">
        <v>64.82</v>
      </c>
      <c r="H1596" s="6" t="n">
        <v>17</v>
      </c>
      <c r="I1596" s="6" t="n">
        <v>129.64</v>
      </c>
      <c r="J1596" s="6" t="n">
        <v>112.64</v>
      </c>
    </row>
    <row collapsed="false" customFormat="false" customHeight="false" hidden="false" ht="12.1" outlineLevel="0" r="1597">
      <c r="A1597" s="35" t="n">
        <v>48863</v>
      </c>
      <c r="B1597" s="16" t="s">
        <v>1375</v>
      </c>
      <c r="C1597" s="16" t="s">
        <v>169</v>
      </c>
      <c r="D1597" s="16" t="s">
        <v>170</v>
      </c>
      <c r="E1597" s="6" t="n">
        <v>1000</v>
      </c>
      <c r="F1597" s="7" t="n">
        <v>3</v>
      </c>
      <c r="G1597" s="6" t="n">
        <v>62.33</v>
      </c>
      <c r="H1597" s="6" t="n">
        <v>24</v>
      </c>
      <c r="I1597" s="6" t="n">
        <v>186.99</v>
      </c>
      <c r="J1597" s="6" t="n">
        <v>162.99</v>
      </c>
    </row>
    <row collapsed="false" customFormat="false" customHeight="false" hidden="false" ht="12.1" outlineLevel="0" r="1598">
      <c r="A1598" s="35" t="n">
        <v>48891</v>
      </c>
      <c r="B1598" s="16" t="s">
        <v>1375</v>
      </c>
      <c r="C1598" s="16" t="s">
        <v>136</v>
      </c>
      <c r="D1598" s="16" t="s">
        <v>137</v>
      </c>
      <c r="E1598" s="6" t="n">
        <v>1000</v>
      </c>
      <c r="F1598" s="7" t="n">
        <v>14</v>
      </c>
      <c r="G1598" s="6" t="n">
        <v>36.15</v>
      </c>
      <c r="H1598" s="6" t="n">
        <v>66</v>
      </c>
      <c r="I1598" s="6" t="n">
        <v>506.1</v>
      </c>
      <c r="J1598" s="6" t="n">
        <v>440.1</v>
      </c>
    </row>
    <row collapsed="false" customFormat="false" customHeight="false" hidden="false" ht="12.1" outlineLevel="0" r="1599">
      <c r="A1599" s="35" t="n">
        <v>48898</v>
      </c>
      <c r="B1599" s="16" t="s">
        <v>1375</v>
      </c>
      <c r="C1599" s="16" t="s">
        <v>115</v>
      </c>
      <c r="D1599" s="16" t="s">
        <v>116</v>
      </c>
      <c r="E1599" s="6" t="n">
        <v>1000</v>
      </c>
      <c r="F1599" s="7" t="n">
        <v>13</v>
      </c>
      <c r="G1599" s="6" t="n">
        <v>61.08</v>
      </c>
      <c r="H1599" s="6" t="n">
        <v>103</v>
      </c>
      <c r="I1599" s="6" t="n">
        <v>794.04</v>
      </c>
      <c r="J1599" s="6" t="n">
        <v>691.04</v>
      </c>
    </row>
    <row collapsed="false" customFormat="false" customHeight="false" hidden="false" ht="12.1" outlineLevel="0" r="1600">
      <c r="A1600" s="35" t="n">
        <v>48905</v>
      </c>
      <c r="B1600" s="16" t="s">
        <v>1375</v>
      </c>
      <c r="C1600" s="16" t="s">
        <v>91</v>
      </c>
      <c r="D1600" s="16" t="s">
        <v>92</v>
      </c>
      <c r="E1600" s="6" t="n">
        <v>1000</v>
      </c>
      <c r="F1600" s="7" t="n">
        <v>19</v>
      </c>
      <c r="G1600" s="6" t="n">
        <v>48.87</v>
      </c>
      <c r="H1600" s="6" t="n">
        <v>121</v>
      </c>
      <c r="I1600" s="6" t="n">
        <v>928.53</v>
      </c>
      <c r="J1600" s="6" t="n">
        <v>807.53</v>
      </c>
    </row>
    <row collapsed="false" customFormat="false" customHeight="false" hidden="false" ht="12.1" outlineLevel="0" r="1601">
      <c r="A1601" s="35" t="n">
        <v>48905</v>
      </c>
      <c r="B1601" s="16" t="s">
        <v>1375</v>
      </c>
      <c r="C1601" s="16" t="s">
        <v>100</v>
      </c>
      <c r="D1601" s="16" t="s">
        <v>101</v>
      </c>
      <c r="E1601" s="6" t="n">
        <v>1000</v>
      </c>
      <c r="F1601" s="7" t="n">
        <v>14</v>
      </c>
      <c r="G1601" s="6" t="n">
        <v>61.08</v>
      </c>
      <c r="H1601" s="6" t="n">
        <v>111</v>
      </c>
      <c r="I1601" s="6" t="n">
        <v>855.12</v>
      </c>
      <c r="J1601" s="6" t="n">
        <v>744.12</v>
      </c>
    </row>
    <row collapsed="false" customFormat="false" customHeight="false" hidden="false" ht="12.1" outlineLevel="0" r="1602">
      <c r="A1602" s="35" t="n">
        <v>48905</v>
      </c>
      <c r="B1602" s="16" t="s">
        <v>1375</v>
      </c>
      <c r="C1602" s="16" t="s">
        <v>94</v>
      </c>
      <c r="D1602" s="16" t="s">
        <v>95</v>
      </c>
      <c r="E1602" s="6" t="n">
        <v>1000</v>
      </c>
      <c r="F1602" s="7" t="n">
        <v>23</v>
      </c>
      <c r="G1602" s="6" t="n">
        <v>35.4</v>
      </c>
      <c r="H1602" s="6" t="n">
        <v>106</v>
      </c>
      <c r="I1602" s="6" t="n">
        <v>814.2</v>
      </c>
      <c r="J1602" s="6" t="n">
        <v>708.2</v>
      </c>
    </row>
    <row collapsed="false" customFormat="false" customHeight="false" hidden="false" ht="12.1" outlineLevel="0" r="1603">
      <c r="A1603" s="35" t="n">
        <v>48919</v>
      </c>
      <c r="B1603" s="16" t="s">
        <v>1375</v>
      </c>
      <c r="C1603" s="16" t="s">
        <v>88</v>
      </c>
      <c r="D1603" s="16" t="s">
        <v>89</v>
      </c>
      <c r="E1603" s="6" t="n">
        <v>1000</v>
      </c>
      <c r="F1603" s="7" t="n">
        <v>14</v>
      </c>
      <c r="G1603" s="6" t="n">
        <v>95.44</v>
      </c>
      <c r="H1603" s="6" t="n">
        <v>174</v>
      </c>
      <c r="I1603" s="6" t="n">
        <v>1336.16</v>
      </c>
      <c r="J1603" s="6" t="n">
        <v>1162.16</v>
      </c>
    </row>
    <row collapsed="false" customFormat="false" customHeight="false" hidden="false" ht="12.1" outlineLevel="0" r="1604">
      <c r="A1604" s="35" t="n">
        <v>48926</v>
      </c>
      <c r="B1604" s="16" t="s">
        <v>1375</v>
      </c>
      <c r="C1604" s="16" t="s">
        <v>145</v>
      </c>
      <c r="D1604" s="16" t="s">
        <v>146</v>
      </c>
      <c r="E1604" s="6" t="n">
        <v>1000</v>
      </c>
      <c r="F1604" s="7" t="n">
        <v>6</v>
      </c>
      <c r="G1604" s="6" t="n">
        <v>59.84</v>
      </c>
      <c r="H1604" s="6" t="n">
        <v>47</v>
      </c>
      <c r="I1604" s="6" t="n">
        <v>359.04</v>
      </c>
      <c r="J1604" s="6" t="n">
        <v>312.04</v>
      </c>
    </row>
    <row collapsed="false" customFormat="false" customHeight="false" hidden="false" ht="12.1" outlineLevel="0" r="1605">
      <c r="A1605" s="35" t="n">
        <v>48961</v>
      </c>
      <c r="B1605" s="16" t="s">
        <v>1375</v>
      </c>
      <c r="C1605" s="16" t="s">
        <v>84</v>
      </c>
      <c r="D1605" s="16" t="s">
        <v>86</v>
      </c>
      <c r="E1605" s="6" t="n">
        <v>1000</v>
      </c>
      <c r="F1605" s="7" t="n">
        <v>34</v>
      </c>
      <c r="G1605" s="6" t="n">
        <v>30.42</v>
      </c>
      <c r="H1605" s="6" t="n">
        <v>134</v>
      </c>
      <c r="I1605" s="6" t="n">
        <v>1034.28</v>
      </c>
      <c r="J1605" s="6" t="n">
        <v>900.28</v>
      </c>
    </row>
    <row collapsed="false" customFormat="false" customHeight="false" hidden="false" ht="12.1" outlineLevel="0" r="1606">
      <c r="A1606" s="35" t="n">
        <v>48975</v>
      </c>
      <c r="B1606" s="16" t="s">
        <v>1375</v>
      </c>
      <c r="C1606" s="16" t="s">
        <v>112</v>
      </c>
      <c r="D1606" s="16" t="s">
        <v>113</v>
      </c>
      <c r="E1606" s="6" t="n">
        <v>1000</v>
      </c>
      <c r="F1606" s="7" t="n">
        <v>19</v>
      </c>
      <c r="G1606" s="6" t="n">
        <v>34.9</v>
      </c>
      <c r="H1606" s="6" t="n">
        <v>86</v>
      </c>
      <c r="I1606" s="6" t="n">
        <v>663.1</v>
      </c>
      <c r="J1606" s="6" t="n">
        <v>577.1</v>
      </c>
    </row>
    <row collapsed="false" customFormat="false" customHeight="false" hidden="false" ht="12.1" outlineLevel="0" r="1607">
      <c r="A1607" s="35" t="n">
        <v>49017</v>
      </c>
      <c r="B1607" s="16" t="s">
        <v>1375</v>
      </c>
      <c r="C1607" s="16" t="s">
        <v>130</v>
      </c>
      <c r="D1607" s="16" t="s">
        <v>131</v>
      </c>
      <c r="E1607" s="6" t="n">
        <v>1000</v>
      </c>
      <c r="F1607" s="7" t="n">
        <v>11</v>
      </c>
      <c r="G1607" s="6" t="n">
        <v>56.1</v>
      </c>
      <c r="H1607" s="6" t="n">
        <v>80</v>
      </c>
      <c r="I1607" s="6" t="n">
        <v>617.1</v>
      </c>
      <c r="J1607" s="6" t="n">
        <v>537.1</v>
      </c>
    </row>
    <row collapsed="false" customFormat="false" customHeight="false" hidden="false" ht="12.1" outlineLevel="0" r="1608">
      <c r="A1608" s="35" t="n">
        <v>49017</v>
      </c>
      <c r="B1608" s="16" t="s">
        <v>1375</v>
      </c>
      <c r="C1608" s="16" t="s">
        <v>97</v>
      </c>
      <c r="D1608" s="16" t="s">
        <v>98</v>
      </c>
      <c r="E1608" s="6" t="n">
        <v>1000</v>
      </c>
      <c r="F1608" s="7" t="n">
        <v>14</v>
      </c>
      <c r="G1608" s="6" t="n">
        <v>59.84</v>
      </c>
      <c r="H1608" s="6" t="n">
        <v>109</v>
      </c>
      <c r="I1608" s="6" t="n">
        <v>837.76</v>
      </c>
      <c r="J1608" s="6" t="n">
        <v>728.76</v>
      </c>
    </row>
    <row collapsed="false" customFormat="false" customHeight="false" hidden="false" ht="12.1" outlineLevel="0" r="1609">
      <c r="A1609" s="35" t="n">
        <v>49024</v>
      </c>
      <c r="B1609" s="16" t="s">
        <v>1375</v>
      </c>
      <c r="C1609" s="16" t="s">
        <v>106</v>
      </c>
      <c r="D1609" s="16" t="s">
        <v>107</v>
      </c>
      <c r="E1609" s="6" t="n">
        <v>1000</v>
      </c>
      <c r="F1609" s="7" t="n">
        <v>18</v>
      </c>
      <c r="G1609" s="6" t="n">
        <v>38.39</v>
      </c>
      <c r="H1609" s="6" t="n">
        <v>90</v>
      </c>
      <c r="I1609" s="6" t="n">
        <v>691.02</v>
      </c>
      <c r="J1609" s="6" t="n">
        <v>601.02</v>
      </c>
    </row>
    <row collapsed="false" customFormat="false" customHeight="false" hidden="false" ht="12.1" outlineLevel="0" r="1610">
      <c r="A1610" s="35" t="n">
        <v>49031</v>
      </c>
      <c r="B1610" s="16" t="s">
        <v>1375</v>
      </c>
      <c r="C1610" s="16" t="s">
        <v>121</v>
      </c>
      <c r="D1610" s="16" t="s">
        <v>122</v>
      </c>
      <c r="E1610" s="6" t="n">
        <v>1000</v>
      </c>
      <c r="F1610" s="7" t="n">
        <v>12</v>
      </c>
      <c r="G1610" s="6" t="n">
        <v>59.84</v>
      </c>
      <c r="H1610" s="6" t="n">
        <v>93</v>
      </c>
      <c r="I1610" s="6" t="n">
        <v>718.08</v>
      </c>
      <c r="J1610" s="6" t="n">
        <v>625.08</v>
      </c>
    </row>
    <row collapsed="false" customFormat="false" customHeight="false" hidden="false" ht="12.1" outlineLevel="0" r="1611">
      <c r="A1611" s="35" t="n">
        <v>49045</v>
      </c>
      <c r="B1611" s="16" t="s">
        <v>1375</v>
      </c>
      <c r="C1611" s="16" t="s">
        <v>205</v>
      </c>
      <c r="D1611" s="16" t="s">
        <v>206</v>
      </c>
      <c r="E1611" s="6" t="n">
        <v>1000</v>
      </c>
      <c r="F1611" s="7" t="n">
        <v>2</v>
      </c>
      <c r="G1611" s="6" t="n">
        <v>64.82</v>
      </c>
      <c r="H1611" s="6" t="n">
        <v>17</v>
      </c>
      <c r="I1611" s="6" t="n">
        <v>129.64</v>
      </c>
      <c r="J1611" s="6" t="n">
        <v>112.64</v>
      </c>
    </row>
    <row collapsed="false" customFormat="false" customHeight="false" hidden="false" ht="12.1" outlineLevel="0" r="1612">
      <c r="A1612" s="35" t="n">
        <v>49045</v>
      </c>
      <c r="B1612" s="16" t="s">
        <v>1375</v>
      </c>
      <c r="C1612" s="16" t="s">
        <v>208</v>
      </c>
      <c r="D1612" s="16" t="s">
        <v>209</v>
      </c>
      <c r="E1612" s="6" t="n">
        <v>1000</v>
      </c>
      <c r="F1612" s="7" t="n">
        <v>2</v>
      </c>
      <c r="G1612" s="6" t="n">
        <v>64.82</v>
      </c>
      <c r="H1612" s="6" t="n">
        <v>17</v>
      </c>
      <c r="I1612" s="6" t="n">
        <v>129.64</v>
      </c>
      <c r="J1612" s="6" t="n">
        <v>112.64</v>
      </c>
    </row>
    <row collapsed="false" customFormat="false" customHeight="false" hidden="false" ht="12.1" outlineLevel="0" r="1613">
      <c r="A1613" s="35" t="n">
        <v>49073</v>
      </c>
      <c r="B1613" s="16" t="s">
        <v>1375</v>
      </c>
      <c r="C1613" s="16" t="s">
        <v>136</v>
      </c>
      <c r="D1613" s="16" t="s">
        <v>137</v>
      </c>
      <c r="E1613" s="6" t="n">
        <v>1000</v>
      </c>
      <c r="F1613" s="7" t="n">
        <v>14</v>
      </c>
      <c r="G1613" s="6" t="n">
        <v>36.15</v>
      </c>
      <c r="H1613" s="6" t="n">
        <v>66</v>
      </c>
      <c r="I1613" s="6" t="n">
        <v>506.1</v>
      </c>
      <c r="J1613" s="6" t="n">
        <v>440.1</v>
      </c>
    </row>
    <row collapsed="false" customFormat="false" customHeight="false" hidden="false" ht="12.1" outlineLevel="0" r="1614">
      <c r="A1614" s="35" t="n">
        <v>49080</v>
      </c>
      <c r="B1614" s="16" t="s">
        <v>1375</v>
      </c>
      <c r="C1614" s="16" t="s">
        <v>115</v>
      </c>
      <c r="D1614" s="16" t="s">
        <v>116</v>
      </c>
      <c r="E1614" s="6" t="n">
        <v>1000</v>
      </c>
      <c r="F1614" s="7" t="n">
        <v>13</v>
      </c>
      <c r="G1614" s="6" t="n">
        <v>61.08</v>
      </c>
      <c r="H1614" s="6" t="n">
        <v>103</v>
      </c>
      <c r="I1614" s="6" t="n">
        <v>794.04</v>
      </c>
      <c r="J1614" s="6" t="n">
        <v>691.04</v>
      </c>
    </row>
    <row collapsed="false" customFormat="false" customHeight="false" hidden="false" ht="12.1" outlineLevel="0" r="1615">
      <c r="A1615" s="35" t="n">
        <v>49087</v>
      </c>
      <c r="B1615" s="16" t="s">
        <v>1375</v>
      </c>
      <c r="C1615" s="16" t="s">
        <v>100</v>
      </c>
      <c r="D1615" s="16" t="s">
        <v>101</v>
      </c>
      <c r="E1615" s="6" t="n">
        <v>1000</v>
      </c>
      <c r="F1615" s="7" t="n">
        <v>14</v>
      </c>
      <c r="G1615" s="6" t="n">
        <v>61.08</v>
      </c>
      <c r="H1615" s="6" t="n">
        <v>111</v>
      </c>
      <c r="I1615" s="6" t="n">
        <v>855.12</v>
      </c>
      <c r="J1615" s="6" t="n">
        <v>744.12</v>
      </c>
    </row>
    <row collapsed="false" customFormat="false" customHeight="false" hidden="false" ht="12.1" outlineLevel="0" r="1616">
      <c r="A1616" s="35" t="n">
        <v>49087</v>
      </c>
      <c r="B1616" s="16" t="s">
        <v>1375</v>
      </c>
      <c r="C1616" s="16" t="s">
        <v>91</v>
      </c>
      <c r="D1616" s="16" t="s">
        <v>92</v>
      </c>
      <c r="E1616" s="6" t="n">
        <v>1000</v>
      </c>
      <c r="F1616" s="7" t="n">
        <v>19</v>
      </c>
      <c r="G1616" s="6" t="n">
        <v>48.87</v>
      </c>
      <c r="H1616" s="6" t="n">
        <v>121</v>
      </c>
      <c r="I1616" s="6" t="n">
        <v>928.53</v>
      </c>
      <c r="J1616" s="6" t="n">
        <v>807.53</v>
      </c>
    </row>
    <row collapsed="false" customFormat="false" customHeight="false" hidden="false" ht="12.1" outlineLevel="0" r="1617">
      <c r="A1617" s="35" t="n">
        <v>49087</v>
      </c>
      <c r="B1617" s="16" t="s">
        <v>1375</v>
      </c>
      <c r="C1617" s="16" t="s">
        <v>94</v>
      </c>
      <c r="D1617" s="16" t="s">
        <v>95</v>
      </c>
      <c r="E1617" s="6" t="n">
        <v>1000</v>
      </c>
      <c r="F1617" s="7" t="n">
        <v>23</v>
      </c>
      <c r="G1617" s="6" t="n">
        <v>35.4</v>
      </c>
      <c r="H1617" s="6" t="n">
        <v>106</v>
      </c>
      <c r="I1617" s="6" t="n">
        <v>814.2</v>
      </c>
      <c r="J1617" s="6" t="n">
        <v>708.2</v>
      </c>
    </row>
    <row collapsed="false" customFormat="false" customHeight="false" hidden="false" ht="12.1" outlineLevel="0" r="1618">
      <c r="A1618" s="35" t="n">
        <v>49101</v>
      </c>
      <c r="B1618" s="16" t="s">
        <v>1375</v>
      </c>
      <c r="C1618" s="16" t="s">
        <v>88</v>
      </c>
      <c r="D1618" s="16" t="s">
        <v>89</v>
      </c>
      <c r="E1618" s="6" t="n">
        <v>1000</v>
      </c>
      <c r="F1618" s="7" t="n">
        <v>14</v>
      </c>
      <c r="G1618" s="6" t="n">
        <v>95.44</v>
      </c>
      <c r="H1618" s="6" t="n">
        <v>174</v>
      </c>
      <c r="I1618" s="6" t="n">
        <v>1336.16</v>
      </c>
      <c r="J1618" s="6" t="n">
        <v>1162.16</v>
      </c>
    </row>
    <row collapsed="false" customFormat="false" customHeight="false" hidden="false" ht="12.1" outlineLevel="0" r="1619">
      <c r="A1619" s="35" t="n">
        <v>49108</v>
      </c>
      <c r="B1619" s="16" t="s">
        <v>1375</v>
      </c>
      <c r="C1619" s="16" t="s">
        <v>145</v>
      </c>
      <c r="D1619" s="16" t="s">
        <v>146</v>
      </c>
      <c r="E1619" s="6" t="n">
        <v>1000</v>
      </c>
      <c r="F1619" s="7" t="n">
        <v>6</v>
      </c>
      <c r="G1619" s="6" t="n">
        <v>59.84</v>
      </c>
      <c r="H1619" s="6" t="n">
        <v>47</v>
      </c>
      <c r="I1619" s="6" t="n">
        <v>359.04</v>
      </c>
      <c r="J1619" s="6" t="n">
        <v>312.04</v>
      </c>
    </row>
    <row collapsed="false" customFormat="false" customHeight="false" hidden="false" ht="12.1" outlineLevel="0" r="1620">
      <c r="A1620" s="35" t="n">
        <v>49143</v>
      </c>
      <c r="B1620" s="16" t="s">
        <v>1375</v>
      </c>
      <c r="C1620" s="16" t="s">
        <v>84</v>
      </c>
      <c r="D1620" s="16" t="s">
        <v>86</v>
      </c>
      <c r="E1620" s="6" t="n">
        <v>1000</v>
      </c>
      <c r="F1620" s="7" t="n">
        <v>34</v>
      </c>
      <c r="G1620" s="6" t="n">
        <v>30.42</v>
      </c>
      <c r="H1620" s="6" t="n">
        <v>134</v>
      </c>
      <c r="I1620" s="6" t="n">
        <v>1034.28</v>
      </c>
      <c r="J1620" s="6" t="n">
        <v>900.28</v>
      </c>
    </row>
    <row collapsed="false" customFormat="false" customHeight="false" hidden="false" ht="12.1" outlineLevel="0" r="1621">
      <c r="A1621" s="35" t="n">
        <v>49157</v>
      </c>
      <c r="B1621" s="16" t="s">
        <v>1375</v>
      </c>
      <c r="C1621" s="16" t="s">
        <v>112</v>
      </c>
      <c r="D1621" s="16" t="s">
        <v>113</v>
      </c>
      <c r="E1621" s="6" t="n">
        <v>1000</v>
      </c>
      <c r="F1621" s="7" t="n">
        <v>19</v>
      </c>
      <c r="G1621" s="6" t="n">
        <v>34.9</v>
      </c>
      <c r="H1621" s="6" t="n">
        <v>86</v>
      </c>
      <c r="I1621" s="6" t="n">
        <v>663.1</v>
      </c>
      <c r="J1621" s="6" t="n">
        <v>577.1</v>
      </c>
    </row>
    <row collapsed="false" customFormat="false" customHeight="false" hidden="false" ht="12.1" outlineLevel="0" r="1622">
      <c r="A1622" s="35" t="n">
        <v>49199</v>
      </c>
      <c r="B1622" s="16" t="s">
        <v>1375</v>
      </c>
      <c r="C1622" s="16" t="s">
        <v>97</v>
      </c>
      <c r="D1622" s="16" t="s">
        <v>98</v>
      </c>
      <c r="E1622" s="6" t="n">
        <v>1000</v>
      </c>
      <c r="F1622" s="7" t="n">
        <v>14</v>
      </c>
      <c r="G1622" s="6" t="n">
        <v>59.84</v>
      </c>
      <c r="H1622" s="6" t="n">
        <v>109</v>
      </c>
      <c r="I1622" s="6" t="n">
        <v>837.76</v>
      </c>
      <c r="J1622" s="6" t="n">
        <v>728.76</v>
      </c>
    </row>
    <row collapsed="false" customFormat="false" customHeight="false" hidden="false" ht="12.1" outlineLevel="0" r="1623">
      <c r="A1623" s="35" t="n">
        <v>49206</v>
      </c>
      <c r="B1623" s="16" t="s">
        <v>1375</v>
      </c>
      <c r="C1623" s="16" t="s">
        <v>106</v>
      </c>
      <c r="D1623" s="16" t="s">
        <v>107</v>
      </c>
      <c r="E1623" s="6" t="n">
        <v>1000</v>
      </c>
      <c r="F1623" s="7" t="n">
        <v>18</v>
      </c>
      <c r="G1623" s="6" t="n">
        <v>38.39</v>
      </c>
      <c r="H1623" s="6" t="n">
        <v>90</v>
      </c>
      <c r="I1623" s="6" t="n">
        <v>691.02</v>
      </c>
      <c r="J1623" s="6" t="n">
        <v>601.02</v>
      </c>
    </row>
    <row collapsed="false" customFormat="false" customHeight="false" hidden="false" ht="12.1" outlineLevel="0" r="1624">
      <c r="A1624" s="35" t="n">
        <v>49213</v>
      </c>
      <c r="B1624" s="16" t="s">
        <v>1375</v>
      </c>
      <c r="C1624" s="16" t="s">
        <v>121</v>
      </c>
      <c r="D1624" s="16" t="s">
        <v>122</v>
      </c>
      <c r="E1624" s="6" t="n">
        <v>1000</v>
      </c>
      <c r="F1624" s="7" t="n">
        <v>12</v>
      </c>
      <c r="G1624" s="6" t="n">
        <v>59.84</v>
      </c>
      <c r="H1624" s="6" t="n">
        <v>93</v>
      </c>
      <c r="I1624" s="6" t="n">
        <v>718.08</v>
      </c>
      <c r="J1624" s="6" t="n">
        <v>625.08</v>
      </c>
    </row>
    <row collapsed="false" customFormat="false" customHeight="false" hidden="false" ht="12.1" outlineLevel="0" r="1625">
      <c r="A1625" s="35" t="n">
        <v>49227</v>
      </c>
      <c r="B1625" s="16" t="s">
        <v>1375</v>
      </c>
      <c r="C1625" s="16" t="s">
        <v>208</v>
      </c>
      <c r="D1625" s="16" t="s">
        <v>209</v>
      </c>
      <c r="E1625" s="6" t="n">
        <v>1000</v>
      </c>
      <c r="F1625" s="7" t="n">
        <v>2</v>
      </c>
      <c r="G1625" s="6" t="n">
        <v>64.82</v>
      </c>
      <c r="H1625" s="6" t="n">
        <v>17</v>
      </c>
      <c r="I1625" s="6" t="n">
        <v>129.64</v>
      </c>
      <c r="J1625" s="6" t="n">
        <v>112.64</v>
      </c>
    </row>
    <row collapsed="false" customFormat="false" customHeight="false" hidden="false" ht="12.1" outlineLevel="0" r="1626">
      <c r="A1626" s="35" t="n">
        <v>49227</v>
      </c>
      <c r="B1626" s="16" t="s">
        <v>1375</v>
      </c>
      <c r="C1626" s="16" t="s">
        <v>205</v>
      </c>
      <c r="D1626" s="16" t="s">
        <v>206</v>
      </c>
      <c r="E1626" s="6" t="n">
        <v>1000</v>
      </c>
      <c r="F1626" s="7" t="n">
        <v>2</v>
      </c>
      <c r="G1626" s="6" t="n">
        <v>64.82</v>
      </c>
      <c r="H1626" s="6" t="n">
        <v>17</v>
      </c>
      <c r="I1626" s="6" t="n">
        <v>129.64</v>
      </c>
      <c r="J1626" s="6" t="n">
        <v>112.64</v>
      </c>
    </row>
    <row collapsed="false" customFormat="false" customHeight="false" hidden="false" ht="12.1" outlineLevel="0" r="1627">
      <c r="A1627" s="35" t="n">
        <v>49262</v>
      </c>
      <c r="B1627" s="16" t="s">
        <v>1375</v>
      </c>
      <c r="C1627" s="16" t="s">
        <v>115</v>
      </c>
      <c r="D1627" s="16" t="s">
        <v>116</v>
      </c>
      <c r="E1627" s="6" t="n">
        <v>1000</v>
      </c>
      <c r="F1627" s="7" t="n">
        <v>13</v>
      </c>
      <c r="G1627" s="6" t="n">
        <v>61.08</v>
      </c>
      <c r="H1627" s="6" t="n">
        <v>103</v>
      </c>
      <c r="I1627" s="6" t="n">
        <v>794.04</v>
      </c>
      <c r="J1627" s="6" t="n">
        <v>691.04</v>
      </c>
    </row>
    <row collapsed="false" customFormat="false" customHeight="false" hidden="false" ht="12.1" outlineLevel="0" r="1628">
      <c r="A1628" s="35" t="n">
        <v>49269</v>
      </c>
      <c r="B1628" s="16" t="s">
        <v>1375</v>
      </c>
      <c r="C1628" s="16" t="s">
        <v>100</v>
      </c>
      <c r="D1628" s="16" t="s">
        <v>101</v>
      </c>
      <c r="E1628" s="6" t="n">
        <v>1000</v>
      </c>
      <c r="F1628" s="7" t="n">
        <v>14</v>
      </c>
      <c r="G1628" s="6" t="n">
        <v>61.08</v>
      </c>
      <c r="H1628" s="6" t="n">
        <v>111</v>
      </c>
      <c r="I1628" s="6" t="n">
        <v>855.12</v>
      </c>
      <c r="J1628" s="6" t="n">
        <v>744.12</v>
      </c>
    </row>
    <row collapsed="false" customFormat="false" customHeight="false" hidden="false" ht="12.1" outlineLevel="0" r="1629">
      <c r="A1629" s="35" t="n">
        <v>49269</v>
      </c>
      <c r="B1629" s="16" t="s">
        <v>1375</v>
      </c>
      <c r="C1629" s="16" t="s">
        <v>94</v>
      </c>
      <c r="D1629" s="16" t="s">
        <v>95</v>
      </c>
      <c r="E1629" s="6" t="n">
        <v>1000</v>
      </c>
      <c r="F1629" s="7" t="n">
        <v>23</v>
      </c>
      <c r="G1629" s="6" t="n">
        <v>35.4</v>
      </c>
      <c r="H1629" s="6" t="n">
        <v>106</v>
      </c>
      <c r="I1629" s="6" t="n">
        <v>814.2</v>
      </c>
      <c r="J1629" s="6" t="n">
        <v>708.2</v>
      </c>
    </row>
    <row collapsed="false" customFormat="false" customHeight="false" hidden="false" ht="12.1" outlineLevel="0" r="1630">
      <c r="A1630" s="35" t="n">
        <v>49269</v>
      </c>
      <c r="B1630" s="16" t="s">
        <v>1375</v>
      </c>
      <c r="C1630" s="16" t="s">
        <v>91</v>
      </c>
      <c r="D1630" s="16" t="s">
        <v>92</v>
      </c>
      <c r="E1630" s="6" t="n">
        <v>1000</v>
      </c>
      <c r="F1630" s="7" t="n">
        <v>19</v>
      </c>
      <c r="G1630" s="6" t="n">
        <v>48.87</v>
      </c>
      <c r="H1630" s="6" t="n">
        <v>121</v>
      </c>
      <c r="I1630" s="6" t="n">
        <v>928.53</v>
      </c>
      <c r="J1630" s="6" t="n">
        <v>807.53</v>
      </c>
    </row>
    <row collapsed="false" customFormat="false" customHeight="false" hidden="false" ht="12.1" outlineLevel="0" r="1631">
      <c r="A1631" s="35" t="n">
        <v>49283</v>
      </c>
      <c r="B1631" s="16" t="s">
        <v>1375</v>
      </c>
      <c r="C1631" s="16" t="s">
        <v>88</v>
      </c>
      <c r="D1631" s="16" t="s">
        <v>89</v>
      </c>
      <c r="E1631" s="6" t="n">
        <v>1000</v>
      </c>
      <c r="F1631" s="7" t="n">
        <v>14</v>
      </c>
      <c r="G1631" s="6" t="n">
        <v>95.44</v>
      </c>
      <c r="H1631" s="6" t="n">
        <v>174</v>
      </c>
      <c r="I1631" s="6" t="n">
        <v>1336.16</v>
      </c>
      <c r="J1631" s="6" t="n">
        <v>1162.16</v>
      </c>
    </row>
    <row collapsed="false" customFormat="false" customHeight="false" hidden="false" ht="12.1" outlineLevel="0" r="1632">
      <c r="A1632" s="35" t="n">
        <v>49290</v>
      </c>
      <c r="B1632" s="16" t="s">
        <v>1375</v>
      </c>
      <c r="C1632" s="16" t="s">
        <v>145</v>
      </c>
      <c r="D1632" s="16" t="s">
        <v>146</v>
      </c>
      <c r="E1632" s="6" t="n">
        <v>1000</v>
      </c>
      <c r="F1632" s="7" t="n">
        <v>6</v>
      </c>
      <c r="G1632" s="6" t="n">
        <v>59.84</v>
      </c>
      <c r="H1632" s="6" t="n">
        <v>47</v>
      </c>
      <c r="I1632" s="6" t="n">
        <v>359.04</v>
      </c>
      <c r="J1632" s="6" t="n">
        <v>312.04</v>
      </c>
    </row>
    <row collapsed="false" customFormat="false" customHeight="false" hidden="false" ht="12.1" outlineLevel="0" r="1633">
      <c r="A1633" s="35" t="n">
        <v>49325</v>
      </c>
      <c r="B1633" s="16" t="s">
        <v>1375</v>
      </c>
      <c r="C1633" s="16" t="s">
        <v>84</v>
      </c>
      <c r="D1633" s="16" t="s">
        <v>86</v>
      </c>
      <c r="E1633" s="6" t="n">
        <v>1000</v>
      </c>
      <c r="F1633" s="7" t="n">
        <v>34</v>
      </c>
      <c r="G1633" s="6" t="n">
        <v>30.42</v>
      </c>
      <c r="H1633" s="6" t="n">
        <v>134</v>
      </c>
      <c r="I1633" s="6" t="n">
        <v>1034.28</v>
      </c>
      <c r="J1633" s="6" t="n">
        <v>900.28</v>
      </c>
    </row>
    <row collapsed="false" customFormat="false" customHeight="false" hidden="false" ht="12.1" outlineLevel="0" r="1634">
      <c r="A1634" s="35" t="n">
        <v>49339</v>
      </c>
      <c r="B1634" s="16" t="s">
        <v>1375</v>
      </c>
      <c r="C1634" s="16" t="s">
        <v>112</v>
      </c>
      <c r="D1634" s="16" t="s">
        <v>113</v>
      </c>
      <c r="E1634" s="6" t="n">
        <v>1000</v>
      </c>
      <c r="F1634" s="7" t="n">
        <v>19</v>
      </c>
      <c r="G1634" s="6" t="n">
        <v>34.9</v>
      </c>
      <c r="H1634" s="6" t="n">
        <v>86</v>
      </c>
      <c r="I1634" s="6" t="n">
        <v>663.1</v>
      </c>
      <c r="J1634" s="6" t="n">
        <v>577.1</v>
      </c>
    </row>
    <row collapsed="false" customFormat="false" customHeight="false" hidden="false" ht="12.1" outlineLevel="0" r="1635">
      <c r="A1635" s="35" t="n">
        <v>49381</v>
      </c>
      <c r="B1635" s="16" t="s">
        <v>1375</v>
      </c>
      <c r="C1635" s="16" t="s">
        <v>97</v>
      </c>
      <c r="D1635" s="16" t="s">
        <v>98</v>
      </c>
      <c r="E1635" s="6" t="n">
        <v>1000</v>
      </c>
      <c r="F1635" s="7" t="n">
        <v>14</v>
      </c>
      <c r="G1635" s="6" t="n">
        <v>59.84</v>
      </c>
      <c r="H1635" s="6" t="n">
        <v>109</v>
      </c>
      <c r="I1635" s="6" t="n">
        <v>837.76</v>
      </c>
      <c r="J1635" s="6" t="n">
        <v>728.76</v>
      </c>
    </row>
    <row collapsed="false" customFormat="false" customHeight="false" hidden="false" ht="12.1" outlineLevel="0" r="1636">
      <c r="A1636" s="35" t="n">
        <v>49388</v>
      </c>
      <c r="B1636" s="16" t="s">
        <v>1375</v>
      </c>
      <c r="C1636" s="16" t="s">
        <v>106</v>
      </c>
      <c r="D1636" s="16" t="s">
        <v>107</v>
      </c>
      <c r="E1636" s="6" t="n">
        <v>1000</v>
      </c>
      <c r="F1636" s="7" t="n">
        <v>18</v>
      </c>
      <c r="G1636" s="6" t="n">
        <v>38.39</v>
      </c>
      <c r="H1636" s="6" t="n">
        <v>90</v>
      </c>
      <c r="I1636" s="6" t="n">
        <v>691.02</v>
      </c>
      <c r="J1636" s="6" t="n">
        <v>601.02</v>
      </c>
    </row>
    <row collapsed="false" customFormat="false" customHeight="false" hidden="false" ht="12.1" outlineLevel="0" r="1637">
      <c r="A1637" s="35" t="n">
        <v>49395</v>
      </c>
      <c r="B1637" s="16" t="s">
        <v>1375</v>
      </c>
      <c r="C1637" s="16" t="s">
        <v>121</v>
      </c>
      <c r="D1637" s="16" t="s">
        <v>122</v>
      </c>
      <c r="E1637" s="6" t="n">
        <v>1000</v>
      </c>
      <c r="F1637" s="7" t="n">
        <v>12</v>
      </c>
      <c r="G1637" s="6" t="n">
        <v>59.84</v>
      </c>
      <c r="H1637" s="6" t="n">
        <v>93</v>
      </c>
      <c r="I1637" s="6" t="n">
        <v>718.08</v>
      </c>
      <c r="J1637" s="6" t="n">
        <v>625.08</v>
      </c>
    </row>
    <row collapsed="false" customFormat="false" customHeight="false" hidden="false" ht="12.1" outlineLevel="0" r="1638">
      <c r="A1638" s="35" t="n">
        <v>49409</v>
      </c>
      <c r="B1638" s="16" t="s">
        <v>1375</v>
      </c>
      <c r="C1638" s="16" t="s">
        <v>208</v>
      </c>
      <c r="D1638" s="16" t="s">
        <v>209</v>
      </c>
      <c r="E1638" s="6" t="n">
        <v>1000</v>
      </c>
      <c r="F1638" s="7" t="n">
        <v>2</v>
      </c>
      <c r="G1638" s="6" t="n">
        <v>64.82</v>
      </c>
      <c r="H1638" s="6" t="n">
        <v>17</v>
      </c>
      <c r="I1638" s="6" t="n">
        <v>129.64</v>
      </c>
      <c r="J1638" s="6" t="n">
        <v>112.64</v>
      </c>
    </row>
    <row collapsed="false" customFormat="false" customHeight="false" hidden="false" ht="12.1" outlineLevel="0" r="1639">
      <c r="A1639" s="35" t="n">
        <v>49409</v>
      </c>
      <c r="B1639" s="16" t="s">
        <v>1375</v>
      </c>
      <c r="C1639" s="16" t="s">
        <v>205</v>
      </c>
      <c r="D1639" s="16" t="s">
        <v>206</v>
      </c>
      <c r="E1639" s="6" t="n">
        <v>1000</v>
      </c>
      <c r="F1639" s="7" t="n">
        <v>2</v>
      </c>
      <c r="G1639" s="6" t="n">
        <v>64.82</v>
      </c>
      <c r="H1639" s="6" t="n">
        <v>17</v>
      </c>
      <c r="I1639" s="6" t="n">
        <v>129.64</v>
      </c>
      <c r="J1639" s="6" t="n">
        <v>112.64</v>
      </c>
    </row>
    <row collapsed="false" customFormat="false" customHeight="false" hidden="false" ht="12.1" outlineLevel="0" r="1640">
      <c r="A1640" s="35" t="n">
        <v>49444</v>
      </c>
      <c r="B1640" s="16" t="s">
        <v>1375</v>
      </c>
      <c r="C1640" s="16" t="s">
        <v>115</v>
      </c>
      <c r="D1640" s="16" t="s">
        <v>116</v>
      </c>
      <c r="E1640" s="6" t="n">
        <v>1000</v>
      </c>
      <c r="F1640" s="7" t="n">
        <v>13</v>
      </c>
      <c r="G1640" s="6" t="n">
        <v>61.08</v>
      </c>
      <c r="H1640" s="6" t="n">
        <v>103</v>
      </c>
      <c r="I1640" s="6" t="n">
        <v>794.04</v>
      </c>
      <c r="J1640" s="6" t="n">
        <v>691.04</v>
      </c>
    </row>
    <row collapsed="false" customFormat="false" customHeight="false" hidden="false" ht="12.1" outlineLevel="0" r="1641">
      <c r="A1641" s="35" t="n">
        <v>49451</v>
      </c>
      <c r="B1641" s="16" t="s">
        <v>1375</v>
      </c>
      <c r="C1641" s="16" t="s">
        <v>94</v>
      </c>
      <c r="D1641" s="16" t="s">
        <v>95</v>
      </c>
      <c r="E1641" s="6" t="n">
        <v>1000</v>
      </c>
      <c r="F1641" s="7" t="n">
        <v>23</v>
      </c>
      <c r="G1641" s="6" t="n">
        <v>35.4</v>
      </c>
      <c r="H1641" s="6" t="n">
        <v>106</v>
      </c>
      <c r="I1641" s="6" t="n">
        <v>814.2</v>
      </c>
      <c r="J1641" s="6" t="n">
        <v>708.2</v>
      </c>
    </row>
    <row collapsed="false" customFormat="false" customHeight="false" hidden="false" ht="12.1" outlineLevel="0" r="1642">
      <c r="A1642" s="35" t="n">
        <v>49451</v>
      </c>
      <c r="B1642" s="16" t="s">
        <v>1375</v>
      </c>
      <c r="C1642" s="16" t="s">
        <v>100</v>
      </c>
      <c r="D1642" s="16" t="s">
        <v>101</v>
      </c>
      <c r="E1642" s="6" t="n">
        <v>1000</v>
      </c>
      <c r="F1642" s="7" t="n">
        <v>14</v>
      </c>
      <c r="G1642" s="6" t="n">
        <v>61.08</v>
      </c>
      <c r="H1642" s="6" t="n">
        <v>111</v>
      </c>
      <c r="I1642" s="6" t="n">
        <v>855.12</v>
      </c>
      <c r="J1642" s="6" t="n">
        <v>744.12</v>
      </c>
    </row>
    <row collapsed="false" customFormat="false" customHeight="false" hidden="false" ht="12.1" outlineLevel="0" r="1643">
      <c r="A1643" s="35" t="n">
        <v>49451</v>
      </c>
      <c r="B1643" s="16" t="s">
        <v>1375</v>
      </c>
      <c r="C1643" s="16" t="s">
        <v>91</v>
      </c>
      <c r="D1643" s="16" t="s">
        <v>92</v>
      </c>
      <c r="E1643" s="6" t="n">
        <v>1000</v>
      </c>
      <c r="F1643" s="7" t="n">
        <v>19</v>
      </c>
      <c r="G1643" s="6" t="n">
        <v>48.87</v>
      </c>
      <c r="H1643" s="6" t="n">
        <v>121</v>
      </c>
      <c r="I1643" s="6" t="n">
        <v>928.53</v>
      </c>
      <c r="J1643" s="6" t="n">
        <v>807.53</v>
      </c>
    </row>
    <row collapsed="false" customFormat="false" customHeight="false" hidden="false" ht="12.1" outlineLevel="0" r="1644">
      <c r="A1644" s="35" t="n">
        <v>49472</v>
      </c>
      <c r="B1644" s="16" t="s">
        <v>1375</v>
      </c>
      <c r="C1644" s="16" t="s">
        <v>145</v>
      </c>
      <c r="D1644" s="16" t="s">
        <v>146</v>
      </c>
      <c r="E1644" s="6" t="n">
        <v>1000</v>
      </c>
      <c r="F1644" s="7" t="n">
        <v>6</v>
      </c>
      <c r="G1644" s="6" t="n">
        <v>59.84</v>
      </c>
      <c r="H1644" s="6" t="n">
        <v>47</v>
      </c>
      <c r="I1644" s="6" t="n">
        <v>359.04</v>
      </c>
      <c r="J1644" s="6" t="n">
        <v>312.04</v>
      </c>
    </row>
    <row collapsed="false" customFormat="false" customHeight="false" hidden="false" ht="12.1" outlineLevel="0" r="1645">
      <c r="A1645" s="35" t="n">
        <v>49507</v>
      </c>
      <c r="B1645" s="16" t="s">
        <v>1375</v>
      </c>
      <c r="C1645" s="16" t="s">
        <v>84</v>
      </c>
      <c r="D1645" s="16" t="s">
        <v>86</v>
      </c>
      <c r="E1645" s="6" t="n">
        <v>1000</v>
      </c>
      <c r="F1645" s="7" t="n">
        <v>34</v>
      </c>
      <c r="G1645" s="6" t="n">
        <v>30.42</v>
      </c>
      <c r="H1645" s="6" t="n">
        <v>134</v>
      </c>
      <c r="I1645" s="6" t="n">
        <v>1034.28</v>
      </c>
      <c r="J1645" s="6" t="n">
        <v>900.28</v>
      </c>
    </row>
    <row collapsed="false" customFormat="false" customHeight="false" hidden="false" ht="12.1" outlineLevel="0" r="1646">
      <c r="A1646" s="35" t="n">
        <v>49521</v>
      </c>
      <c r="B1646" s="16" t="s">
        <v>1375</v>
      </c>
      <c r="C1646" s="16" t="s">
        <v>112</v>
      </c>
      <c r="D1646" s="16" t="s">
        <v>113</v>
      </c>
      <c r="E1646" s="6" t="n">
        <v>1000</v>
      </c>
      <c r="F1646" s="7" t="n">
        <v>19</v>
      </c>
      <c r="G1646" s="6" t="n">
        <v>34.9</v>
      </c>
      <c r="H1646" s="6" t="n">
        <v>86</v>
      </c>
      <c r="I1646" s="6" t="n">
        <v>663.1</v>
      </c>
      <c r="J1646" s="6" t="n">
        <v>577.1</v>
      </c>
    </row>
    <row collapsed="false" customFormat="false" customHeight="false" hidden="false" ht="12.1" outlineLevel="0" r="1647">
      <c r="A1647" s="35" t="n">
        <v>49563</v>
      </c>
      <c r="B1647" s="16" t="s">
        <v>1375</v>
      </c>
      <c r="C1647" s="16" t="s">
        <v>97</v>
      </c>
      <c r="D1647" s="16" t="s">
        <v>98</v>
      </c>
      <c r="E1647" s="6" t="n">
        <v>1000</v>
      </c>
      <c r="F1647" s="7" t="n">
        <v>14</v>
      </c>
      <c r="G1647" s="6" t="n">
        <v>59.84</v>
      </c>
      <c r="H1647" s="6" t="n">
        <v>109</v>
      </c>
      <c r="I1647" s="6" t="n">
        <v>837.76</v>
      </c>
      <c r="J1647" s="6" t="n">
        <v>728.76</v>
      </c>
    </row>
    <row collapsed="false" customFormat="false" customHeight="false" hidden="false" ht="12.1" outlineLevel="0" r="1648">
      <c r="A1648" s="35" t="n">
        <v>49570</v>
      </c>
      <c r="B1648" s="16" t="s">
        <v>1375</v>
      </c>
      <c r="C1648" s="16" t="s">
        <v>106</v>
      </c>
      <c r="D1648" s="16" t="s">
        <v>107</v>
      </c>
      <c r="E1648" s="6" t="n">
        <v>1000</v>
      </c>
      <c r="F1648" s="7" t="n">
        <v>18</v>
      </c>
      <c r="G1648" s="6" t="n">
        <v>38.39</v>
      </c>
      <c r="H1648" s="6" t="n">
        <v>90</v>
      </c>
      <c r="I1648" s="6" t="n">
        <v>691.02</v>
      </c>
      <c r="J1648" s="6" t="n">
        <v>601.02</v>
      </c>
    </row>
    <row collapsed="false" customFormat="false" customHeight="false" hidden="false" ht="12.1" outlineLevel="0" r="1649">
      <c r="A1649" s="35" t="n">
        <v>49577</v>
      </c>
      <c r="B1649" s="16" t="s">
        <v>1375</v>
      </c>
      <c r="C1649" s="16" t="s">
        <v>121</v>
      </c>
      <c r="D1649" s="16" t="s">
        <v>122</v>
      </c>
      <c r="E1649" s="6" t="n">
        <v>1000</v>
      </c>
      <c r="F1649" s="7" t="n">
        <v>12</v>
      </c>
      <c r="G1649" s="6" t="n">
        <v>59.84</v>
      </c>
      <c r="H1649" s="6" t="n">
        <v>93</v>
      </c>
      <c r="I1649" s="6" t="n">
        <v>718.08</v>
      </c>
      <c r="J1649" s="6" t="n">
        <v>625.08</v>
      </c>
    </row>
    <row collapsed="false" customFormat="false" customHeight="false" hidden="false" ht="12.1" outlineLevel="0" r="1650">
      <c r="A1650" s="35" t="n">
        <v>49591</v>
      </c>
      <c r="B1650" s="16" t="s">
        <v>1375</v>
      </c>
      <c r="C1650" s="16" t="s">
        <v>208</v>
      </c>
      <c r="D1650" s="16" t="s">
        <v>209</v>
      </c>
      <c r="E1650" s="6" t="n">
        <v>1000</v>
      </c>
      <c r="F1650" s="7" t="n">
        <v>2</v>
      </c>
      <c r="G1650" s="6" t="n">
        <v>64.82</v>
      </c>
      <c r="H1650" s="6" t="n">
        <v>17</v>
      </c>
      <c r="I1650" s="6" t="n">
        <v>129.64</v>
      </c>
      <c r="J1650" s="6" t="n">
        <v>112.64</v>
      </c>
    </row>
    <row collapsed="false" customFormat="false" customHeight="false" hidden="false" ht="12.1" outlineLevel="0" r="1651">
      <c r="A1651" s="35" t="n">
        <v>49591</v>
      </c>
      <c r="B1651" s="16" t="s">
        <v>1375</v>
      </c>
      <c r="C1651" s="16" t="s">
        <v>205</v>
      </c>
      <c r="D1651" s="16" t="s">
        <v>206</v>
      </c>
      <c r="E1651" s="6" t="n">
        <v>1000</v>
      </c>
      <c r="F1651" s="7" t="n">
        <v>2</v>
      </c>
      <c r="G1651" s="6" t="n">
        <v>64.82</v>
      </c>
      <c r="H1651" s="6" t="n">
        <v>17</v>
      </c>
      <c r="I1651" s="6" t="n">
        <v>129.64</v>
      </c>
      <c r="J1651" s="6" t="n">
        <v>112.64</v>
      </c>
    </row>
    <row collapsed="false" customFormat="false" customHeight="false" hidden="false" ht="12.1" outlineLevel="0" r="1652">
      <c r="A1652" s="35" t="n">
        <v>49626</v>
      </c>
      <c r="B1652" s="16" t="s">
        <v>1375</v>
      </c>
      <c r="C1652" s="16" t="s">
        <v>115</v>
      </c>
      <c r="D1652" s="16" t="s">
        <v>116</v>
      </c>
      <c r="E1652" s="6" t="n">
        <v>1000</v>
      </c>
      <c r="F1652" s="7" t="n">
        <v>13</v>
      </c>
      <c r="G1652" s="6" t="n">
        <v>61.08</v>
      </c>
      <c r="H1652" s="6" t="n">
        <v>103</v>
      </c>
      <c r="I1652" s="6" t="n">
        <v>794.04</v>
      </c>
      <c r="J1652" s="6" t="n">
        <v>691.04</v>
      </c>
    </row>
    <row collapsed="false" customFormat="false" customHeight="false" hidden="false" ht="12.1" outlineLevel="0" r="1653">
      <c r="A1653" s="35" t="n">
        <v>49633</v>
      </c>
      <c r="B1653" s="16" t="s">
        <v>1375</v>
      </c>
      <c r="C1653" s="16" t="s">
        <v>91</v>
      </c>
      <c r="D1653" s="16" t="s">
        <v>92</v>
      </c>
      <c r="E1653" s="6" t="n">
        <v>1000</v>
      </c>
      <c r="F1653" s="7" t="n">
        <v>19</v>
      </c>
      <c r="G1653" s="6" t="n">
        <v>48.87</v>
      </c>
      <c r="H1653" s="6" t="n">
        <v>121</v>
      </c>
      <c r="I1653" s="6" t="n">
        <v>928.53</v>
      </c>
      <c r="J1653" s="6" t="n">
        <v>807.53</v>
      </c>
    </row>
    <row collapsed="false" customFormat="false" customHeight="false" hidden="false" ht="12.1" outlineLevel="0" r="1654">
      <c r="A1654" s="35" t="n">
        <v>49633</v>
      </c>
      <c r="B1654" s="16" t="s">
        <v>1375</v>
      </c>
      <c r="C1654" s="16" t="s">
        <v>94</v>
      </c>
      <c r="D1654" s="16" t="s">
        <v>95</v>
      </c>
      <c r="E1654" s="6" t="n">
        <v>1000</v>
      </c>
      <c r="F1654" s="7" t="n">
        <v>23</v>
      </c>
      <c r="G1654" s="6" t="n">
        <v>35.4</v>
      </c>
      <c r="H1654" s="6" t="n">
        <v>106</v>
      </c>
      <c r="I1654" s="6" t="n">
        <v>814.2</v>
      </c>
      <c r="J1654" s="6" t="n">
        <v>708.2</v>
      </c>
    </row>
    <row collapsed="false" customFormat="false" customHeight="false" hidden="false" ht="12.1" outlineLevel="0" r="1655">
      <c r="A1655" s="35" t="n">
        <v>49633</v>
      </c>
      <c r="B1655" s="16" t="s">
        <v>1375</v>
      </c>
      <c r="C1655" s="16" t="s">
        <v>100</v>
      </c>
      <c r="D1655" s="16" t="s">
        <v>101</v>
      </c>
      <c r="E1655" s="6" t="n">
        <v>1000</v>
      </c>
      <c r="F1655" s="7" t="n">
        <v>14</v>
      </c>
      <c r="G1655" s="6" t="n">
        <v>61.08</v>
      </c>
      <c r="H1655" s="6" t="n">
        <v>111</v>
      </c>
      <c r="I1655" s="6" t="n">
        <v>855.12</v>
      </c>
      <c r="J1655" s="6" t="n">
        <v>744.12</v>
      </c>
    </row>
    <row collapsed="false" customFormat="false" customHeight="false" hidden="false" ht="12.1" outlineLevel="0" r="1656">
      <c r="A1656" s="35" t="n">
        <v>49654</v>
      </c>
      <c r="B1656" s="16" t="s">
        <v>1375</v>
      </c>
      <c r="C1656" s="16" t="s">
        <v>145</v>
      </c>
      <c r="D1656" s="16" t="s">
        <v>146</v>
      </c>
      <c r="E1656" s="6" t="n">
        <v>1000</v>
      </c>
      <c r="F1656" s="7" t="n">
        <v>6</v>
      </c>
      <c r="G1656" s="6" t="n">
        <v>59.84</v>
      </c>
      <c r="H1656" s="6" t="n">
        <v>47</v>
      </c>
      <c r="I1656" s="6" t="n">
        <v>359.04</v>
      </c>
      <c r="J1656" s="6" t="n">
        <v>312.04</v>
      </c>
    </row>
    <row collapsed="false" customFormat="false" customHeight="false" hidden="false" ht="12.1" outlineLevel="0" r="1657">
      <c r="A1657" s="35" t="n">
        <v>49703</v>
      </c>
      <c r="B1657" s="16" t="s">
        <v>1375</v>
      </c>
      <c r="C1657" s="16" t="s">
        <v>112</v>
      </c>
      <c r="D1657" s="16" t="s">
        <v>113</v>
      </c>
      <c r="E1657" s="6" t="n">
        <v>1000</v>
      </c>
      <c r="F1657" s="7" t="n">
        <v>19</v>
      </c>
      <c r="G1657" s="6" t="n">
        <v>34.9</v>
      </c>
      <c r="H1657" s="6" t="n">
        <v>86</v>
      </c>
      <c r="I1657" s="6" t="n">
        <v>663.1</v>
      </c>
      <c r="J1657" s="6" t="n">
        <v>577.1</v>
      </c>
    </row>
    <row collapsed="false" customFormat="false" customHeight="false" hidden="false" ht="12.1" outlineLevel="0" r="1658">
      <c r="A1658" s="35" t="n">
        <v>49745</v>
      </c>
      <c r="B1658" s="16" t="s">
        <v>1375</v>
      </c>
      <c r="C1658" s="16" t="s">
        <v>97</v>
      </c>
      <c r="D1658" s="16" t="s">
        <v>98</v>
      </c>
      <c r="E1658" s="6" t="n">
        <v>1000</v>
      </c>
      <c r="F1658" s="7" t="n">
        <v>14</v>
      </c>
      <c r="G1658" s="6" t="n">
        <v>59.84</v>
      </c>
      <c r="H1658" s="6" t="n">
        <v>109</v>
      </c>
      <c r="I1658" s="6" t="n">
        <v>837.76</v>
      </c>
      <c r="J1658" s="6" t="n">
        <v>728.76</v>
      </c>
    </row>
    <row collapsed="false" customFormat="false" customHeight="false" hidden="false" ht="12.1" outlineLevel="0" r="1659">
      <c r="A1659" s="35" t="n">
        <v>49752</v>
      </c>
      <c r="B1659" s="16" t="s">
        <v>1375</v>
      </c>
      <c r="C1659" s="16" t="s">
        <v>106</v>
      </c>
      <c r="D1659" s="16" t="s">
        <v>107</v>
      </c>
      <c r="E1659" s="6" t="n">
        <v>1000</v>
      </c>
      <c r="F1659" s="7" t="n">
        <v>18</v>
      </c>
      <c r="G1659" s="6" t="n">
        <v>38.39</v>
      </c>
      <c r="H1659" s="6" t="n">
        <v>90</v>
      </c>
      <c r="I1659" s="6" t="n">
        <v>691.02</v>
      </c>
      <c r="J1659" s="6" t="n">
        <v>601.02</v>
      </c>
    </row>
    <row collapsed="false" customFormat="false" customHeight="false" hidden="false" ht="12.1" outlineLevel="0" r="1660">
      <c r="A1660" s="35" t="n">
        <v>49773</v>
      </c>
      <c r="B1660" s="16" t="s">
        <v>1375</v>
      </c>
      <c r="C1660" s="16" t="s">
        <v>208</v>
      </c>
      <c r="D1660" s="16" t="s">
        <v>209</v>
      </c>
      <c r="E1660" s="6" t="n">
        <v>1000</v>
      </c>
      <c r="F1660" s="7" t="n">
        <v>2</v>
      </c>
      <c r="G1660" s="6" t="n">
        <v>64.82</v>
      </c>
      <c r="H1660" s="6" t="n">
        <v>17</v>
      </c>
      <c r="I1660" s="6" t="n">
        <v>129.64</v>
      </c>
      <c r="J1660" s="6" t="n">
        <v>112.64</v>
      </c>
    </row>
    <row collapsed="false" customFormat="false" customHeight="false" hidden="false" ht="12.1" outlineLevel="0" r="1661">
      <c r="A1661" s="35" t="n">
        <v>49773</v>
      </c>
      <c r="B1661" s="16" t="s">
        <v>1375</v>
      </c>
      <c r="C1661" s="16" t="s">
        <v>205</v>
      </c>
      <c r="D1661" s="16" t="s">
        <v>206</v>
      </c>
      <c r="E1661" s="6" t="n">
        <v>1000</v>
      </c>
      <c r="F1661" s="7" t="n">
        <v>2</v>
      </c>
      <c r="G1661" s="6" t="n">
        <v>64.82</v>
      </c>
      <c r="H1661" s="6" t="n">
        <v>17</v>
      </c>
      <c r="I1661" s="6" t="n">
        <v>129.64</v>
      </c>
      <c r="J1661" s="6" t="n">
        <v>112.64</v>
      </c>
    </row>
    <row collapsed="false" customFormat="false" customHeight="false" hidden="false" ht="12.1" outlineLevel="0" r="1662">
      <c r="A1662" s="35" t="n">
        <v>49808</v>
      </c>
      <c r="B1662" s="16" t="s">
        <v>1375</v>
      </c>
      <c r="C1662" s="16" t="s">
        <v>115</v>
      </c>
      <c r="D1662" s="16" t="s">
        <v>116</v>
      </c>
      <c r="E1662" s="6" t="n">
        <v>1000</v>
      </c>
      <c r="F1662" s="7" t="n">
        <v>13</v>
      </c>
      <c r="G1662" s="6" t="n">
        <v>61.08</v>
      </c>
      <c r="H1662" s="6" t="n">
        <v>103</v>
      </c>
      <c r="I1662" s="6" t="n">
        <v>794.04</v>
      </c>
      <c r="J1662" s="6" t="n">
        <v>691.04</v>
      </c>
    </row>
    <row collapsed="false" customFormat="false" customHeight="false" hidden="false" ht="12.1" outlineLevel="0" r="1663">
      <c r="A1663" s="35" t="n">
        <v>49815</v>
      </c>
      <c r="B1663" s="16" t="s">
        <v>1375</v>
      </c>
      <c r="C1663" s="16" t="s">
        <v>94</v>
      </c>
      <c r="D1663" s="16" t="s">
        <v>95</v>
      </c>
      <c r="E1663" s="6" t="n">
        <v>1000</v>
      </c>
      <c r="F1663" s="7" t="n">
        <v>23</v>
      </c>
      <c r="G1663" s="6" t="n">
        <v>35.4</v>
      </c>
      <c r="H1663" s="6" t="n">
        <v>106</v>
      </c>
      <c r="I1663" s="6" t="n">
        <v>814.2</v>
      </c>
      <c r="J1663" s="6" t="n">
        <v>708.2</v>
      </c>
    </row>
    <row collapsed="false" customFormat="false" customHeight="false" hidden="false" ht="12.1" outlineLevel="0" r="1664">
      <c r="A1664" s="35" t="n">
        <v>49815</v>
      </c>
      <c r="B1664" s="16" t="s">
        <v>1375</v>
      </c>
      <c r="C1664" s="16" t="s">
        <v>91</v>
      </c>
      <c r="D1664" s="16" t="s">
        <v>92</v>
      </c>
      <c r="E1664" s="6" t="n">
        <v>1000</v>
      </c>
      <c r="F1664" s="7" t="n">
        <v>19</v>
      </c>
      <c r="G1664" s="6" t="n">
        <v>48.87</v>
      </c>
      <c r="H1664" s="6" t="n">
        <v>121</v>
      </c>
      <c r="I1664" s="6" t="n">
        <v>928.53</v>
      </c>
      <c r="J1664" s="6" t="n">
        <v>807.53</v>
      </c>
    </row>
    <row collapsed="false" customFormat="false" customHeight="false" hidden="false" ht="12.1" outlineLevel="0" r="1665">
      <c r="A1665" s="35" t="n">
        <v>49815</v>
      </c>
      <c r="B1665" s="16" t="s">
        <v>1375</v>
      </c>
      <c r="C1665" s="16" t="s">
        <v>100</v>
      </c>
      <c r="D1665" s="16" t="s">
        <v>101</v>
      </c>
      <c r="E1665" s="6" t="n">
        <v>1000</v>
      </c>
      <c r="F1665" s="7" t="n">
        <v>14</v>
      </c>
      <c r="G1665" s="6" t="n">
        <v>61.08</v>
      </c>
      <c r="H1665" s="6" t="n">
        <v>111</v>
      </c>
      <c r="I1665" s="6" t="n">
        <v>855.12</v>
      </c>
      <c r="J1665" s="6" t="n">
        <v>744.12</v>
      </c>
    </row>
    <row collapsed="false" customFormat="false" customHeight="false" hidden="false" ht="12.1" outlineLevel="0" r="1666">
      <c r="A1666" s="35" t="n">
        <v>49836</v>
      </c>
      <c r="B1666" s="16" t="s">
        <v>1375</v>
      </c>
      <c r="C1666" s="16" t="s">
        <v>145</v>
      </c>
      <c r="D1666" s="16" t="s">
        <v>146</v>
      </c>
      <c r="E1666" s="6" t="n">
        <v>1000</v>
      </c>
      <c r="F1666" s="7" t="n">
        <v>6</v>
      </c>
      <c r="G1666" s="6" t="n">
        <v>59.84</v>
      </c>
      <c r="H1666" s="6" t="n">
        <v>47</v>
      </c>
      <c r="I1666" s="6" t="n">
        <v>359.04</v>
      </c>
      <c r="J1666" s="6" t="n">
        <v>312.04</v>
      </c>
    </row>
    <row collapsed="false" customFormat="false" customHeight="false" hidden="false" ht="12.1" outlineLevel="0" r="1667">
      <c r="A1667" s="35" t="n">
        <v>49885</v>
      </c>
      <c r="B1667" s="16" t="s">
        <v>1375</v>
      </c>
      <c r="C1667" s="16" t="s">
        <v>112</v>
      </c>
      <c r="D1667" s="16" t="s">
        <v>113</v>
      </c>
      <c r="E1667" s="6" t="n">
        <v>1000</v>
      </c>
      <c r="F1667" s="7" t="n">
        <v>19</v>
      </c>
      <c r="G1667" s="6" t="n">
        <v>34.9</v>
      </c>
      <c r="H1667" s="6" t="n">
        <v>86</v>
      </c>
      <c r="I1667" s="6" t="n">
        <v>663.1</v>
      </c>
      <c r="J1667" s="6" t="n">
        <v>577.1</v>
      </c>
    </row>
    <row collapsed="false" customFormat="false" customHeight="false" hidden="false" ht="12.1" outlineLevel="0" r="1668">
      <c r="A1668" s="35" t="n">
        <v>49934</v>
      </c>
      <c r="B1668" s="16" t="s">
        <v>1375</v>
      </c>
      <c r="C1668" s="16" t="s">
        <v>106</v>
      </c>
      <c r="D1668" s="16" t="s">
        <v>107</v>
      </c>
      <c r="E1668" s="6" t="n">
        <v>1000</v>
      </c>
      <c r="F1668" s="7" t="n">
        <v>18</v>
      </c>
      <c r="G1668" s="6" t="n">
        <v>38.39</v>
      </c>
      <c r="H1668" s="6" t="n">
        <v>90</v>
      </c>
      <c r="I1668" s="6" t="n">
        <v>691.02</v>
      </c>
      <c r="J1668" s="6" t="n">
        <v>601.02</v>
      </c>
    </row>
    <row collapsed="false" customFormat="false" customHeight="false" hidden="false" ht="12.1" outlineLevel="0" r="1669">
      <c r="A1669" s="35" t="n">
        <v>49955</v>
      </c>
      <c r="B1669" s="16" t="s">
        <v>1375</v>
      </c>
      <c r="C1669" s="16" t="s">
        <v>208</v>
      </c>
      <c r="D1669" s="16" t="s">
        <v>209</v>
      </c>
      <c r="E1669" s="6" t="n">
        <v>1000</v>
      </c>
      <c r="F1669" s="7" t="n">
        <v>2</v>
      </c>
      <c r="G1669" s="6" t="n">
        <v>64.82</v>
      </c>
      <c r="H1669" s="6" t="n">
        <v>17</v>
      </c>
      <c r="I1669" s="6" t="n">
        <v>129.64</v>
      </c>
      <c r="J1669" s="6" t="n">
        <v>112.64</v>
      </c>
    </row>
    <row collapsed="false" customFormat="false" customHeight="false" hidden="false" ht="12.1" outlineLevel="0" r="1670">
      <c r="A1670" s="35" t="n">
        <v>49955</v>
      </c>
      <c r="B1670" s="16" t="s">
        <v>1375</v>
      </c>
      <c r="C1670" s="16" t="s">
        <v>205</v>
      </c>
      <c r="D1670" s="16" t="s">
        <v>206</v>
      </c>
      <c r="E1670" s="6" t="n">
        <v>1000</v>
      </c>
      <c r="F1670" s="7" t="n">
        <v>2</v>
      </c>
      <c r="G1670" s="6" t="n">
        <v>64.82</v>
      </c>
      <c r="H1670" s="6" t="n">
        <v>17</v>
      </c>
      <c r="I1670" s="6" t="n">
        <v>129.64</v>
      </c>
      <c r="J1670" s="6" t="n">
        <v>112.64</v>
      </c>
    </row>
    <row collapsed="false" customFormat="false" customHeight="false" hidden="false" ht="12.1" outlineLevel="0" r="1671">
      <c r="A1671" s="35" t="n">
        <v>49990</v>
      </c>
      <c r="B1671" s="16" t="s">
        <v>1375</v>
      </c>
      <c r="C1671" s="16" t="s">
        <v>115</v>
      </c>
      <c r="D1671" s="16" t="s">
        <v>116</v>
      </c>
      <c r="E1671" s="6" t="n">
        <v>1000</v>
      </c>
      <c r="F1671" s="7" t="n">
        <v>13</v>
      </c>
      <c r="G1671" s="6" t="n">
        <v>61.08</v>
      </c>
      <c r="H1671" s="6" t="n">
        <v>103</v>
      </c>
      <c r="I1671" s="6" t="n">
        <v>794.04</v>
      </c>
      <c r="J1671" s="6" t="n">
        <v>691.04</v>
      </c>
    </row>
    <row collapsed="false" customFormat="false" customHeight="false" hidden="false" ht="12.1" outlineLevel="0" r="1672">
      <c r="A1672" s="35" t="n">
        <v>49997</v>
      </c>
      <c r="B1672" s="16" t="s">
        <v>1375</v>
      </c>
      <c r="C1672" s="16" t="s">
        <v>94</v>
      </c>
      <c r="D1672" s="16" t="s">
        <v>95</v>
      </c>
      <c r="E1672" s="6" t="n">
        <v>1000</v>
      </c>
      <c r="F1672" s="7" t="n">
        <v>23</v>
      </c>
      <c r="G1672" s="6" t="n">
        <v>35.4</v>
      </c>
      <c r="H1672" s="6" t="n">
        <v>106</v>
      </c>
      <c r="I1672" s="6" t="n">
        <v>814.2</v>
      </c>
      <c r="J1672" s="6" t="n">
        <v>708.2</v>
      </c>
    </row>
    <row collapsed="false" customFormat="false" customHeight="false" hidden="false" ht="12.1" outlineLevel="0" r="1673">
      <c r="A1673" s="35" t="n">
        <v>49997</v>
      </c>
      <c r="B1673" s="16" t="s">
        <v>1375</v>
      </c>
      <c r="C1673" s="16" t="s">
        <v>100</v>
      </c>
      <c r="D1673" s="16" t="s">
        <v>101</v>
      </c>
      <c r="E1673" s="6" t="n">
        <v>1000</v>
      </c>
      <c r="F1673" s="7" t="n">
        <v>14</v>
      </c>
      <c r="G1673" s="6" t="n">
        <v>61.08</v>
      </c>
      <c r="H1673" s="6" t="n">
        <v>111</v>
      </c>
      <c r="I1673" s="6" t="n">
        <v>855.12</v>
      </c>
      <c r="J1673" s="6" t="n">
        <v>744.12</v>
      </c>
    </row>
    <row collapsed="false" customFormat="false" customHeight="false" hidden="false" ht="12.1" outlineLevel="0" r="1674">
      <c r="A1674" s="35" t="n">
        <v>49997</v>
      </c>
      <c r="B1674" s="16" t="s">
        <v>1375</v>
      </c>
      <c r="C1674" s="16" t="s">
        <v>91</v>
      </c>
      <c r="D1674" s="16" t="s">
        <v>92</v>
      </c>
      <c r="E1674" s="6" t="n">
        <v>1000</v>
      </c>
      <c r="F1674" s="7" t="n">
        <v>19</v>
      </c>
      <c r="G1674" s="6" t="n">
        <v>48.87</v>
      </c>
      <c r="H1674" s="6" t="n">
        <v>121</v>
      </c>
      <c r="I1674" s="6" t="n">
        <v>928.53</v>
      </c>
      <c r="J1674" s="6" t="n">
        <v>807.53</v>
      </c>
    </row>
    <row collapsed="false" customFormat="false" customHeight="false" hidden="false" ht="12.1" outlineLevel="0" r="1675">
      <c r="A1675" s="35" t="n">
        <v>50018</v>
      </c>
      <c r="B1675" s="16" t="s">
        <v>1375</v>
      </c>
      <c r="C1675" s="16" t="s">
        <v>145</v>
      </c>
      <c r="D1675" s="16" t="s">
        <v>146</v>
      </c>
      <c r="E1675" s="6" t="n">
        <v>1000</v>
      </c>
      <c r="F1675" s="7" t="n">
        <v>6</v>
      </c>
      <c r="G1675" s="6" t="n">
        <v>59.84</v>
      </c>
      <c r="H1675" s="6" t="n">
        <v>47</v>
      </c>
      <c r="I1675" s="6" t="n">
        <v>359.04</v>
      </c>
      <c r="J1675" s="6" t="n">
        <v>312.04</v>
      </c>
    </row>
    <row collapsed="false" customFormat="false" customHeight="false" hidden="false" ht="12.1" outlineLevel="0" r="1676">
      <c r="A1676" s="35" t="n">
        <v>50116</v>
      </c>
      <c r="B1676" s="16" t="s">
        <v>1375</v>
      </c>
      <c r="C1676" s="16" t="s">
        <v>106</v>
      </c>
      <c r="D1676" s="16" t="s">
        <v>107</v>
      </c>
      <c r="E1676" s="6" t="n">
        <v>1000</v>
      </c>
      <c r="F1676" s="7" t="n">
        <v>18</v>
      </c>
      <c r="G1676" s="6" t="n">
        <v>38.39</v>
      </c>
      <c r="H1676" s="6" t="n">
        <v>90</v>
      </c>
      <c r="I1676" s="6" t="n">
        <v>691.02</v>
      </c>
      <c r="J1676" s="6" t="n">
        <v>601.02</v>
      </c>
    </row>
    <row collapsed="false" customFormat="false" customHeight="false" hidden="false" ht="12.1" outlineLevel="0" r="1677">
      <c r="A1677" s="35" t="n">
        <v>50137</v>
      </c>
      <c r="B1677" s="16" t="s">
        <v>1375</v>
      </c>
      <c r="C1677" s="16" t="s">
        <v>205</v>
      </c>
      <c r="D1677" s="16" t="s">
        <v>206</v>
      </c>
      <c r="E1677" s="6" t="n">
        <v>1000</v>
      </c>
      <c r="F1677" s="7" t="n">
        <v>2</v>
      </c>
      <c r="G1677" s="6" t="n">
        <v>64.82</v>
      </c>
      <c r="H1677" s="6" t="n">
        <v>17</v>
      </c>
      <c r="I1677" s="6" t="n">
        <v>129.64</v>
      </c>
      <c r="J1677" s="6" t="n">
        <v>112.64</v>
      </c>
    </row>
    <row collapsed="false" customFormat="false" customHeight="false" hidden="false" ht="12.1" outlineLevel="0" r="1678">
      <c r="A1678" s="35" t="n">
        <v>50137</v>
      </c>
      <c r="B1678" s="16" t="s">
        <v>1375</v>
      </c>
      <c r="C1678" s="16" t="s">
        <v>208</v>
      </c>
      <c r="D1678" s="16" t="s">
        <v>209</v>
      </c>
      <c r="E1678" s="6" t="n">
        <v>1000</v>
      </c>
      <c r="F1678" s="7" t="n">
        <v>2</v>
      </c>
      <c r="G1678" s="6" t="n">
        <v>64.82</v>
      </c>
      <c r="H1678" s="6" t="n">
        <v>17</v>
      </c>
      <c r="I1678" s="6" t="n">
        <v>129.64</v>
      </c>
      <c r="J1678" s="6" t="n">
        <v>112.64</v>
      </c>
    </row>
    <row collapsed="false" customFormat="false" customHeight="false" hidden="false" ht="12.1" outlineLevel="0" r="1679">
      <c r="A1679" s="35" t="n">
        <v>50172</v>
      </c>
      <c r="B1679" s="16" t="s">
        <v>1375</v>
      </c>
      <c r="C1679" s="16" t="s">
        <v>115</v>
      </c>
      <c r="D1679" s="16" t="s">
        <v>116</v>
      </c>
      <c r="E1679" s="6" t="n">
        <v>1000</v>
      </c>
      <c r="F1679" s="7" t="n">
        <v>13</v>
      </c>
      <c r="G1679" s="6" t="n">
        <v>61.08</v>
      </c>
      <c r="H1679" s="6" t="n">
        <v>103</v>
      </c>
      <c r="I1679" s="6" t="n">
        <v>794.04</v>
      </c>
      <c r="J1679" s="6" t="n">
        <v>691.04</v>
      </c>
    </row>
    <row collapsed="false" customFormat="false" customHeight="false" hidden="false" ht="12.1" outlineLevel="0" r="1680">
      <c r="A1680" s="35" t="n">
        <v>50179</v>
      </c>
      <c r="B1680" s="16" t="s">
        <v>1375</v>
      </c>
      <c r="C1680" s="16" t="s">
        <v>91</v>
      </c>
      <c r="D1680" s="16" t="s">
        <v>92</v>
      </c>
      <c r="E1680" s="6" t="n">
        <v>1000</v>
      </c>
      <c r="F1680" s="7" t="n">
        <v>19</v>
      </c>
      <c r="G1680" s="6" t="n">
        <v>48.87</v>
      </c>
      <c r="H1680" s="6" t="n">
        <v>121</v>
      </c>
      <c r="I1680" s="6" t="n">
        <v>928.53</v>
      </c>
      <c r="J1680" s="6" t="n">
        <v>807.53</v>
      </c>
    </row>
    <row collapsed="false" customFormat="false" customHeight="false" hidden="false" ht="12.1" outlineLevel="0" r="1681">
      <c r="A1681" s="35" t="n">
        <v>50179</v>
      </c>
      <c r="B1681" s="16" t="s">
        <v>1375</v>
      </c>
      <c r="C1681" s="16" t="s">
        <v>94</v>
      </c>
      <c r="D1681" s="16" t="s">
        <v>95</v>
      </c>
      <c r="E1681" s="6" t="n">
        <v>1000</v>
      </c>
      <c r="F1681" s="7" t="n">
        <v>23</v>
      </c>
      <c r="G1681" s="6" t="n">
        <v>35.4</v>
      </c>
      <c r="H1681" s="6" t="n">
        <v>106</v>
      </c>
      <c r="I1681" s="6" t="n">
        <v>814.2</v>
      </c>
      <c r="J1681" s="6" t="n">
        <v>708.2</v>
      </c>
    </row>
    <row collapsed="false" customFormat="false" customHeight="false" hidden="false" ht="12.1" outlineLevel="0" r="1682">
      <c r="A1682" s="35" t="n">
        <v>50179</v>
      </c>
      <c r="B1682" s="16" t="s">
        <v>1375</v>
      </c>
      <c r="C1682" s="16" t="s">
        <v>100</v>
      </c>
      <c r="D1682" s="16" t="s">
        <v>101</v>
      </c>
      <c r="E1682" s="6" t="n">
        <v>1000</v>
      </c>
      <c r="F1682" s="7" t="n">
        <v>14</v>
      </c>
      <c r="G1682" s="6" t="n">
        <v>61.08</v>
      </c>
      <c r="H1682" s="6" t="n">
        <v>111</v>
      </c>
      <c r="I1682" s="6" t="n">
        <v>855.12</v>
      </c>
      <c r="J1682" s="6" t="n">
        <v>744.12</v>
      </c>
    </row>
    <row collapsed="false" customFormat="false" customHeight="false" hidden="false" ht="12.1" outlineLevel="0" r="1683">
      <c r="A1683" s="35" t="n">
        <v>50200</v>
      </c>
      <c r="B1683" s="16" t="s">
        <v>1375</v>
      </c>
      <c r="C1683" s="16" t="s">
        <v>145</v>
      </c>
      <c r="D1683" s="16" t="s">
        <v>146</v>
      </c>
      <c r="E1683" s="6" t="n">
        <v>1000</v>
      </c>
      <c r="F1683" s="7" t="n">
        <v>6</v>
      </c>
      <c r="G1683" s="6" t="n">
        <v>59.84</v>
      </c>
      <c r="H1683" s="6" t="n">
        <v>47</v>
      </c>
      <c r="I1683" s="6" t="n">
        <v>359.04</v>
      </c>
      <c r="J1683" s="6" t="n">
        <v>312.04</v>
      </c>
    </row>
    <row collapsed="false" customFormat="false" customHeight="false" hidden="false" ht="12.1" outlineLevel="0" r="1684">
      <c r="A1684" s="35" t="n">
        <v>50298</v>
      </c>
      <c r="B1684" s="16" t="s">
        <v>1375</v>
      </c>
      <c r="C1684" s="16" t="s">
        <v>106</v>
      </c>
      <c r="D1684" s="16" t="s">
        <v>107</v>
      </c>
      <c r="E1684" s="6" t="n">
        <v>1000</v>
      </c>
      <c r="F1684" s="7" t="n">
        <v>18</v>
      </c>
      <c r="G1684" s="6" t="n">
        <v>38.39</v>
      </c>
      <c r="H1684" s="6" t="n">
        <v>90</v>
      </c>
      <c r="I1684" s="6" t="n">
        <v>691.02</v>
      </c>
      <c r="J1684" s="6" t="n">
        <v>601.02</v>
      </c>
    </row>
    <row collapsed="false" customFormat="false" customHeight="false" hidden="false" ht="12.1" outlineLevel="0" r="1685">
      <c r="A1685" s="35" t="n">
        <v>50319</v>
      </c>
      <c r="B1685" s="16" t="s">
        <v>1375</v>
      </c>
      <c r="C1685" s="16" t="s">
        <v>208</v>
      </c>
      <c r="D1685" s="16" t="s">
        <v>209</v>
      </c>
      <c r="E1685" s="6" t="n">
        <v>1000</v>
      </c>
      <c r="F1685" s="7" t="n">
        <v>2</v>
      </c>
      <c r="G1685" s="6" t="n">
        <v>64.82</v>
      </c>
      <c r="H1685" s="6" t="n">
        <v>17</v>
      </c>
      <c r="I1685" s="6" t="n">
        <v>129.64</v>
      </c>
      <c r="J1685" s="6" t="n">
        <v>112.64</v>
      </c>
    </row>
    <row collapsed="false" customFormat="false" customHeight="false" hidden="false" ht="12.1" outlineLevel="0" r="1686">
      <c r="A1686" s="35" t="n">
        <v>50319</v>
      </c>
      <c r="B1686" s="16" t="s">
        <v>1375</v>
      </c>
      <c r="C1686" s="16" t="s">
        <v>205</v>
      </c>
      <c r="D1686" s="16" t="s">
        <v>206</v>
      </c>
      <c r="E1686" s="6" t="n">
        <v>1000</v>
      </c>
      <c r="F1686" s="7" t="n">
        <v>2</v>
      </c>
      <c r="G1686" s="6" t="n">
        <v>64.82</v>
      </c>
      <c r="H1686" s="6" t="n">
        <v>17</v>
      </c>
      <c r="I1686" s="6" t="n">
        <v>129.64</v>
      </c>
      <c r="J1686" s="6" t="n">
        <v>112.64</v>
      </c>
    </row>
    <row collapsed="false" customFormat="false" customHeight="false" hidden="false" ht="12.1" outlineLevel="0" r="1687">
      <c r="A1687" s="35" t="n">
        <v>50354</v>
      </c>
      <c r="B1687" s="16" t="s">
        <v>1375</v>
      </c>
      <c r="C1687" s="16" t="s">
        <v>115</v>
      </c>
      <c r="D1687" s="16" t="s">
        <v>116</v>
      </c>
      <c r="E1687" s="6" t="n">
        <v>1000</v>
      </c>
      <c r="F1687" s="7" t="n">
        <v>13</v>
      </c>
      <c r="G1687" s="6" t="n">
        <v>61.08</v>
      </c>
      <c r="H1687" s="6" t="n">
        <v>103</v>
      </c>
      <c r="I1687" s="6" t="n">
        <v>794.04</v>
      </c>
      <c r="J1687" s="6" t="n">
        <v>691.04</v>
      </c>
    </row>
    <row collapsed="false" customFormat="false" customHeight="false" hidden="false" ht="12.1" outlineLevel="0" r="1688">
      <c r="A1688" s="35" t="n">
        <v>50361</v>
      </c>
      <c r="B1688" s="16" t="s">
        <v>1375</v>
      </c>
      <c r="C1688" s="16" t="s">
        <v>100</v>
      </c>
      <c r="D1688" s="16" t="s">
        <v>101</v>
      </c>
      <c r="E1688" s="6" t="n">
        <v>1000</v>
      </c>
      <c r="F1688" s="7" t="n">
        <v>14</v>
      </c>
      <c r="G1688" s="6" t="n">
        <v>61.08</v>
      </c>
      <c r="H1688" s="6" t="n">
        <v>111</v>
      </c>
      <c r="I1688" s="6" t="n">
        <v>855.12</v>
      </c>
      <c r="J1688" s="6" t="n">
        <v>744.12</v>
      </c>
    </row>
    <row collapsed="false" customFormat="false" customHeight="false" hidden="false" ht="12.1" outlineLevel="0" r="1689">
      <c r="A1689" s="35" t="n">
        <v>50361</v>
      </c>
      <c r="B1689" s="16" t="s">
        <v>1375</v>
      </c>
      <c r="C1689" s="16" t="s">
        <v>94</v>
      </c>
      <c r="D1689" s="16" t="s">
        <v>95</v>
      </c>
      <c r="E1689" s="6" t="n">
        <v>1000</v>
      </c>
      <c r="F1689" s="7" t="n">
        <v>23</v>
      </c>
      <c r="G1689" s="6" t="n">
        <v>35.4</v>
      </c>
      <c r="H1689" s="6" t="n">
        <v>106</v>
      </c>
      <c r="I1689" s="6" t="n">
        <v>814.2</v>
      </c>
      <c r="J1689" s="6" t="n">
        <v>708.2</v>
      </c>
    </row>
    <row collapsed="false" customFormat="false" customHeight="false" hidden="false" ht="12.1" outlineLevel="0" r="1690">
      <c r="A1690" s="35" t="n">
        <v>50361</v>
      </c>
      <c r="B1690" s="16" t="s">
        <v>1375</v>
      </c>
      <c r="C1690" s="16" t="s">
        <v>91</v>
      </c>
      <c r="D1690" s="16" t="s">
        <v>92</v>
      </c>
      <c r="E1690" s="6" t="n">
        <v>1000</v>
      </c>
      <c r="F1690" s="7" t="n">
        <v>19</v>
      </c>
      <c r="G1690" s="6" t="n">
        <v>48.87</v>
      </c>
      <c r="H1690" s="6" t="n">
        <v>121</v>
      </c>
      <c r="I1690" s="6" t="n">
        <v>928.53</v>
      </c>
      <c r="J1690" s="6" t="n">
        <v>807.53</v>
      </c>
    </row>
    <row collapsed="false" customFormat="false" customHeight="false" hidden="false" ht="12.1" outlineLevel="0" r="1691">
      <c r="A1691" s="35" t="n">
        <v>50480</v>
      </c>
      <c r="B1691" s="16" t="s">
        <v>1375</v>
      </c>
      <c r="C1691" s="16" t="s">
        <v>106</v>
      </c>
      <c r="D1691" s="16" t="s">
        <v>107</v>
      </c>
      <c r="E1691" s="6" t="n">
        <v>1000</v>
      </c>
      <c r="F1691" s="7" t="n">
        <v>18</v>
      </c>
      <c r="G1691" s="6" t="n">
        <v>38.39</v>
      </c>
      <c r="H1691" s="6" t="n">
        <v>90</v>
      </c>
      <c r="I1691" s="6" t="n">
        <v>691.02</v>
      </c>
      <c r="J1691" s="6" t="n">
        <v>601.02</v>
      </c>
    </row>
    <row collapsed="false" customFormat="false" customHeight="false" hidden="false" ht="12.1" outlineLevel="0" r="1692">
      <c r="A1692" s="35" t="n">
        <v>50501</v>
      </c>
      <c r="B1692" s="16" t="s">
        <v>1375</v>
      </c>
      <c r="C1692" s="16" t="s">
        <v>205</v>
      </c>
      <c r="D1692" s="16" t="s">
        <v>206</v>
      </c>
      <c r="E1692" s="6" t="n">
        <v>1000</v>
      </c>
      <c r="F1692" s="7" t="n">
        <v>2</v>
      </c>
      <c r="G1692" s="6" t="n">
        <v>64.82</v>
      </c>
      <c r="H1692" s="6" t="n">
        <v>17</v>
      </c>
      <c r="I1692" s="6" t="n">
        <v>129.64</v>
      </c>
      <c r="J1692" s="6" t="n">
        <v>112.64</v>
      </c>
    </row>
    <row collapsed="false" customFormat="false" customHeight="false" hidden="false" ht="12.1" outlineLevel="0" r="1693">
      <c r="A1693" s="35" t="n">
        <v>50501</v>
      </c>
      <c r="B1693" s="16" t="s">
        <v>1375</v>
      </c>
      <c r="C1693" s="16" t="s">
        <v>208</v>
      </c>
      <c r="D1693" s="16" t="s">
        <v>209</v>
      </c>
      <c r="E1693" s="6" t="n">
        <v>1000</v>
      </c>
      <c r="F1693" s="7" t="n">
        <v>2</v>
      </c>
      <c r="G1693" s="6" t="n">
        <v>64.82</v>
      </c>
      <c r="H1693" s="6" t="n">
        <v>17</v>
      </c>
      <c r="I1693" s="6" t="n">
        <v>129.64</v>
      </c>
      <c r="J1693" s="6" t="n">
        <v>112.64</v>
      </c>
    </row>
    <row collapsed="false" customFormat="false" customHeight="false" hidden="false" ht="12.1" outlineLevel="0" r="1694">
      <c r="A1694" s="35" t="n">
        <v>50536</v>
      </c>
      <c r="B1694" s="16" t="s">
        <v>1375</v>
      </c>
      <c r="C1694" s="16" t="s">
        <v>115</v>
      </c>
      <c r="D1694" s="16" t="s">
        <v>116</v>
      </c>
      <c r="E1694" s="6" t="n">
        <v>1000</v>
      </c>
      <c r="F1694" s="7" t="n">
        <v>13</v>
      </c>
      <c r="G1694" s="6" t="n">
        <v>61.08</v>
      </c>
      <c r="H1694" s="6" t="n">
        <v>103</v>
      </c>
      <c r="I1694" s="6" t="n">
        <v>794.04</v>
      </c>
      <c r="J1694" s="6" t="n">
        <v>691.04</v>
      </c>
    </row>
    <row collapsed="false" customFormat="false" customHeight="false" hidden="false" ht="12.1" outlineLevel="0" r="1695">
      <c r="A1695" s="35" t="n">
        <v>50543</v>
      </c>
      <c r="B1695" s="16" t="s">
        <v>1375</v>
      </c>
      <c r="C1695" s="16" t="s">
        <v>100</v>
      </c>
      <c r="D1695" s="16" t="s">
        <v>101</v>
      </c>
      <c r="E1695" s="6" t="n">
        <v>1000</v>
      </c>
      <c r="F1695" s="7" t="n">
        <v>14</v>
      </c>
      <c r="G1695" s="6" t="n">
        <v>61.08</v>
      </c>
      <c r="H1695" s="6" t="n">
        <v>111</v>
      </c>
      <c r="I1695" s="6" t="n">
        <v>855.12</v>
      </c>
      <c r="J1695" s="6" t="n">
        <v>744.12</v>
      </c>
    </row>
    <row collapsed="false" customFormat="false" customHeight="false" hidden="false" ht="12.1" outlineLevel="0" r="1696">
      <c r="A1696" s="35" t="n">
        <v>50543</v>
      </c>
      <c r="B1696" s="16" t="s">
        <v>1375</v>
      </c>
      <c r="C1696" s="16" t="s">
        <v>94</v>
      </c>
      <c r="D1696" s="16" t="s">
        <v>95</v>
      </c>
      <c r="E1696" s="6" t="n">
        <v>1000</v>
      </c>
      <c r="F1696" s="7" t="n">
        <v>23</v>
      </c>
      <c r="G1696" s="6" t="n">
        <v>35.4</v>
      </c>
      <c r="H1696" s="6" t="n">
        <v>106</v>
      </c>
      <c r="I1696" s="6" t="n">
        <v>814.2</v>
      </c>
      <c r="J1696" s="6" t="n">
        <v>708.2</v>
      </c>
    </row>
    <row collapsed="false" customFormat="false" customHeight="false" hidden="false" ht="12.1" outlineLevel="0" r="1697">
      <c r="A1697" s="35" t="n">
        <v>50543</v>
      </c>
      <c r="B1697" s="16" t="s">
        <v>1375</v>
      </c>
      <c r="C1697" s="16" t="s">
        <v>91</v>
      </c>
      <c r="D1697" s="16" t="s">
        <v>92</v>
      </c>
      <c r="E1697" s="6" t="n">
        <v>1000</v>
      </c>
      <c r="F1697" s="7" t="n">
        <v>19</v>
      </c>
      <c r="G1697" s="6" t="n">
        <v>48.87</v>
      </c>
      <c r="H1697" s="6" t="n">
        <v>121</v>
      </c>
      <c r="I1697" s="6" t="n">
        <v>928.53</v>
      </c>
      <c r="J1697" s="6" t="n">
        <v>807.53</v>
      </c>
    </row>
    <row collapsed="false" customFormat="false" customHeight="false" hidden="false" ht="12.1" outlineLevel="0" r="1698">
      <c r="A1698" s="35" t="n">
        <v>50662</v>
      </c>
      <c r="B1698" s="16" t="s">
        <v>1375</v>
      </c>
      <c r="C1698" s="16" t="s">
        <v>106</v>
      </c>
      <c r="D1698" s="16" t="s">
        <v>107</v>
      </c>
      <c r="E1698" s="6" t="n">
        <v>1000</v>
      </c>
      <c r="F1698" s="7" t="n">
        <v>18</v>
      </c>
      <c r="G1698" s="6" t="n">
        <v>38.39</v>
      </c>
      <c r="H1698" s="6" t="n">
        <v>90</v>
      </c>
      <c r="I1698" s="6" t="n">
        <v>691.02</v>
      </c>
      <c r="J1698" s="6" t="n">
        <v>601.02</v>
      </c>
    </row>
    <row collapsed="false" customFormat="false" customHeight="false" hidden="false" ht="12.1" outlineLevel="0" r="1699">
      <c r="A1699" s="35" t="n">
        <v>50683</v>
      </c>
      <c r="B1699" s="16" t="s">
        <v>1375</v>
      </c>
      <c r="C1699" s="16" t="s">
        <v>208</v>
      </c>
      <c r="D1699" s="16" t="s">
        <v>209</v>
      </c>
      <c r="E1699" s="6" t="n">
        <v>1000</v>
      </c>
      <c r="F1699" s="7" t="n">
        <v>2</v>
      </c>
      <c r="G1699" s="6" t="n">
        <v>64.82</v>
      </c>
      <c r="H1699" s="6" t="n">
        <v>17</v>
      </c>
      <c r="I1699" s="6" t="n">
        <v>129.64</v>
      </c>
      <c r="J1699" s="6" t="n">
        <v>112.64</v>
      </c>
    </row>
    <row collapsed="false" customFormat="false" customHeight="false" hidden="false" ht="12.1" outlineLevel="0" r="1700">
      <c r="A1700" s="35" t="n">
        <v>50683</v>
      </c>
      <c r="B1700" s="16" t="s">
        <v>1375</v>
      </c>
      <c r="C1700" s="16" t="s">
        <v>205</v>
      </c>
      <c r="D1700" s="16" t="s">
        <v>206</v>
      </c>
      <c r="E1700" s="6" t="n">
        <v>1000</v>
      </c>
      <c r="F1700" s="7" t="n">
        <v>2</v>
      </c>
      <c r="G1700" s="6" t="n">
        <v>64.82</v>
      </c>
      <c r="H1700" s="6" t="n">
        <v>17</v>
      </c>
      <c r="I1700" s="6" t="n">
        <v>129.64</v>
      </c>
      <c r="J1700" s="6" t="n">
        <v>112.64</v>
      </c>
    </row>
    <row collapsed="false" customFormat="false" customHeight="false" hidden="false" ht="12.1" outlineLevel="0" r="1701">
      <c r="A1701" s="35" t="n">
        <v>50718</v>
      </c>
      <c r="B1701" s="16" t="s">
        <v>1375</v>
      </c>
      <c r="C1701" s="16" t="s">
        <v>115</v>
      </c>
      <c r="D1701" s="16" t="s">
        <v>116</v>
      </c>
      <c r="E1701" s="6" t="n">
        <v>1000</v>
      </c>
      <c r="F1701" s="7" t="n">
        <v>13</v>
      </c>
      <c r="G1701" s="6" t="n">
        <v>61.08</v>
      </c>
      <c r="H1701" s="6" t="n">
        <v>103</v>
      </c>
      <c r="I1701" s="6" t="n">
        <v>794.04</v>
      </c>
      <c r="J1701" s="6" t="n">
        <v>691.04</v>
      </c>
    </row>
    <row collapsed="false" customFormat="false" customHeight="false" hidden="false" ht="12.1" outlineLevel="0" r="1702">
      <c r="A1702" s="35" t="n">
        <v>50725</v>
      </c>
      <c r="B1702" s="16" t="s">
        <v>1375</v>
      </c>
      <c r="C1702" s="16" t="s">
        <v>100</v>
      </c>
      <c r="D1702" s="16" t="s">
        <v>101</v>
      </c>
      <c r="E1702" s="6" t="n">
        <v>1000</v>
      </c>
      <c r="F1702" s="7" t="n">
        <v>14</v>
      </c>
      <c r="G1702" s="6" t="n">
        <v>61.08</v>
      </c>
      <c r="H1702" s="6" t="n">
        <v>111</v>
      </c>
      <c r="I1702" s="6" t="n">
        <v>855.12</v>
      </c>
      <c r="J1702" s="6" t="n">
        <v>744.12</v>
      </c>
    </row>
    <row collapsed="false" customFormat="false" customHeight="false" hidden="false" ht="12.1" outlineLevel="0" r="1703">
      <c r="A1703" s="35" t="n">
        <v>50725</v>
      </c>
      <c r="B1703" s="16" t="s">
        <v>1375</v>
      </c>
      <c r="C1703" s="16" t="s">
        <v>94</v>
      </c>
      <c r="D1703" s="16" t="s">
        <v>95</v>
      </c>
      <c r="E1703" s="6" t="n">
        <v>1000</v>
      </c>
      <c r="F1703" s="7" t="n">
        <v>23</v>
      </c>
      <c r="G1703" s="6" t="n">
        <v>35.4</v>
      </c>
      <c r="H1703" s="6" t="n">
        <v>106</v>
      </c>
      <c r="I1703" s="6" t="n">
        <v>814.2</v>
      </c>
      <c r="J1703" s="6" t="n">
        <v>708.2</v>
      </c>
    </row>
    <row collapsed="false" customFormat="false" customHeight="false" hidden="false" ht="12.1" outlineLevel="0" r="1704">
      <c r="A1704" s="35" t="n">
        <v>50844</v>
      </c>
      <c r="B1704" s="16" t="s">
        <v>1375</v>
      </c>
      <c r="C1704" s="16" t="s">
        <v>106</v>
      </c>
      <c r="D1704" s="16" t="s">
        <v>107</v>
      </c>
      <c r="E1704" s="6" t="n">
        <v>1000</v>
      </c>
      <c r="F1704" s="7" t="n">
        <v>18</v>
      </c>
      <c r="G1704" s="6" t="n">
        <v>38.39</v>
      </c>
      <c r="H1704" s="6" t="n">
        <v>90</v>
      </c>
      <c r="I1704" s="6" t="n">
        <v>691.02</v>
      </c>
      <c r="J1704" s="6" t="n">
        <v>601.02</v>
      </c>
    </row>
    <row collapsed="false" customFormat="false" customHeight="false" hidden="false" ht="12.1" outlineLevel="0" r="1705">
      <c r="A1705" s="35" t="n">
        <v>50865</v>
      </c>
      <c r="B1705" s="16" t="s">
        <v>1375</v>
      </c>
      <c r="C1705" s="16" t="s">
        <v>208</v>
      </c>
      <c r="D1705" s="16" t="s">
        <v>209</v>
      </c>
      <c r="E1705" s="6" t="n">
        <v>1000</v>
      </c>
      <c r="F1705" s="7" t="n">
        <v>2</v>
      </c>
      <c r="G1705" s="6" t="n">
        <v>64.82</v>
      </c>
      <c r="H1705" s="6" t="n">
        <v>17</v>
      </c>
      <c r="I1705" s="6" t="n">
        <v>129.64</v>
      </c>
      <c r="J1705" s="6" t="n">
        <v>112.64</v>
      </c>
    </row>
    <row collapsed="false" customFormat="false" customHeight="false" hidden="false" ht="12.1" outlineLevel="0" r="1706">
      <c r="A1706" s="35" t="n">
        <v>50900</v>
      </c>
      <c r="B1706" s="16" t="s">
        <v>1375</v>
      </c>
      <c r="C1706" s="16" t="s">
        <v>115</v>
      </c>
      <c r="D1706" s="16" t="s">
        <v>116</v>
      </c>
      <c r="E1706" s="6" t="n">
        <v>1000</v>
      </c>
      <c r="F1706" s="7" t="n">
        <v>13</v>
      </c>
      <c r="G1706" s="6" t="n">
        <v>61.08</v>
      </c>
      <c r="H1706" s="6" t="n">
        <v>103</v>
      </c>
      <c r="I1706" s="6" t="n">
        <v>794.04</v>
      </c>
      <c r="J1706" s="6" t="n">
        <v>691.04</v>
      </c>
    </row>
    <row collapsed="false" customFormat="false" customHeight="false" hidden="false" ht="12.1" outlineLevel="0" r="1707">
      <c r="A1707" s="35" t="n">
        <v>50907</v>
      </c>
      <c r="B1707" s="16" t="s">
        <v>1375</v>
      </c>
      <c r="C1707" s="16" t="s">
        <v>100</v>
      </c>
      <c r="D1707" s="16" t="s">
        <v>101</v>
      </c>
      <c r="E1707" s="6" t="n">
        <v>1000</v>
      </c>
      <c r="F1707" s="7" t="n">
        <v>14</v>
      </c>
      <c r="G1707" s="6" t="n">
        <v>61.08</v>
      </c>
      <c r="H1707" s="6" t="n">
        <v>111</v>
      </c>
      <c r="I1707" s="6" t="n">
        <v>855.12</v>
      </c>
      <c r="J1707" s="6" t="n">
        <v>744.12</v>
      </c>
    </row>
    <row collapsed="false" customFormat="false" customHeight="false" hidden="false" ht="12.1" outlineLevel="0" r="1708">
      <c r="A1708" s="35" t="n">
        <v>50907</v>
      </c>
      <c r="B1708" s="16" t="s">
        <v>1375</v>
      </c>
      <c r="C1708" s="16" t="s">
        <v>94</v>
      </c>
      <c r="D1708" s="16" t="s">
        <v>95</v>
      </c>
      <c r="E1708" s="6" t="n">
        <v>1000</v>
      </c>
      <c r="F1708" s="7" t="n">
        <v>23</v>
      </c>
      <c r="G1708" s="6" t="n">
        <v>35.4</v>
      </c>
      <c r="H1708" s="6" t="n">
        <v>106</v>
      </c>
      <c r="I1708" s="6" t="n">
        <v>814.2</v>
      </c>
      <c r="J1708" s="6" t="n">
        <v>708.2</v>
      </c>
    </row>
    <row collapsed="false" customFormat="false" customHeight="false" hidden="false" ht="12.1" outlineLevel="0" r="1709">
      <c r="A1709" s="35" t="n">
        <v>51047</v>
      </c>
      <c r="B1709" s="16" t="s">
        <v>1375</v>
      </c>
      <c r="C1709" s="16" t="s">
        <v>208</v>
      </c>
      <c r="D1709" s="16" t="s">
        <v>209</v>
      </c>
      <c r="E1709" s="6" t="n">
        <v>1000</v>
      </c>
      <c r="F1709" s="7" t="n">
        <v>2</v>
      </c>
      <c r="G1709" s="6" t="n">
        <v>64.82</v>
      </c>
      <c r="H1709" s="6" t="n">
        <v>17</v>
      </c>
      <c r="I1709" s="6" t="n">
        <v>129.64</v>
      </c>
      <c r="J1709" s="6" t="n">
        <v>112.64</v>
      </c>
    </row>
    <row collapsed="false" customFormat="false" customHeight="false" hidden="false" ht="12.1" outlineLevel="0" r="1710">
      <c r="A1710" s="35" t="n">
        <v>51089</v>
      </c>
      <c r="B1710" s="16" t="s">
        <v>1375</v>
      </c>
      <c r="C1710" s="16" t="s">
        <v>100</v>
      </c>
      <c r="D1710" s="16" t="s">
        <v>101</v>
      </c>
      <c r="E1710" s="6" t="n">
        <v>1000</v>
      </c>
      <c r="F1710" s="7" t="n">
        <v>14</v>
      </c>
      <c r="G1710" s="6" t="n">
        <v>61.08</v>
      </c>
      <c r="H1710" s="6" t="n">
        <v>111</v>
      </c>
      <c r="I1710" s="6" t="n">
        <v>855.12</v>
      </c>
      <c r="J1710" s="6" t="n">
        <v>744.12</v>
      </c>
    </row>
    <row collapsed="false" customFormat="false" customHeight="false" hidden="false" ht="12.1" outlineLevel="0" r="1711">
      <c r="A1711" s="35" t="n">
        <v>51089</v>
      </c>
      <c r="B1711" s="16" t="s">
        <v>1375</v>
      </c>
      <c r="C1711" s="16" t="s">
        <v>94</v>
      </c>
      <c r="D1711" s="16" t="s">
        <v>95</v>
      </c>
      <c r="E1711" s="6" t="n">
        <v>1000</v>
      </c>
      <c r="F1711" s="7" t="n">
        <v>23</v>
      </c>
      <c r="G1711" s="6" t="n">
        <v>35.4</v>
      </c>
      <c r="H1711" s="6" t="n">
        <v>106</v>
      </c>
      <c r="I1711" s="6" t="n">
        <v>814.2</v>
      </c>
      <c r="J1711" s="6" t="n">
        <v>708.2</v>
      </c>
    </row>
    <row collapsed="false" customFormat="false" customHeight="false" hidden="false" ht="12.1" outlineLevel="0" r="1712">
      <c r="A1712" s="35" t="n">
        <v>51229</v>
      </c>
      <c r="B1712" s="16" t="s">
        <v>1375</v>
      </c>
      <c r="C1712" s="16" t="s">
        <v>208</v>
      </c>
      <c r="D1712" s="16" t="s">
        <v>209</v>
      </c>
      <c r="E1712" s="6" t="n">
        <v>1000</v>
      </c>
      <c r="F1712" s="7" t="n">
        <v>2</v>
      </c>
      <c r="G1712" s="6" t="n">
        <v>64.82</v>
      </c>
      <c r="H1712" s="6" t="n">
        <v>17</v>
      </c>
      <c r="I1712" s="6" t="n">
        <v>129.64</v>
      </c>
      <c r="J1712" s="6" t="n">
        <v>112.64</v>
      </c>
    </row>
    <row collapsed="false" customFormat="false" customHeight="false" hidden="false" ht="12.1" outlineLevel="0" r="1713">
      <c r="A1713" s="35" t="n">
        <v>51271</v>
      </c>
      <c r="B1713" s="16" t="s">
        <v>1375</v>
      </c>
      <c r="C1713" s="16" t="s">
        <v>94</v>
      </c>
      <c r="D1713" s="16" t="s">
        <v>95</v>
      </c>
      <c r="E1713" s="6" t="n">
        <v>1000</v>
      </c>
      <c r="F1713" s="7" t="n">
        <v>23</v>
      </c>
      <c r="G1713" s="6" t="n">
        <v>35.4</v>
      </c>
      <c r="H1713" s="6" t="n">
        <v>106</v>
      </c>
      <c r="I1713" s="6" t="n">
        <v>814.2</v>
      </c>
      <c r="J1713" s="6" t="n">
        <v>708.2</v>
      </c>
    </row>
    <row collapsed="false" customFormat="false" customHeight="false" hidden="false" ht="12.1" outlineLevel="0" r="1714">
      <c r="A1714" s="35" t="n">
        <v>51271</v>
      </c>
      <c r="B1714" s="16" t="s">
        <v>1375</v>
      </c>
      <c r="C1714" s="16" t="s">
        <v>100</v>
      </c>
      <c r="D1714" s="16" t="s">
        <v>101</v>
      </c>
      <c r="E1714" s="6" t="n">
        <v>1000</v>
      </c>
      <c r="F1714" s="7" t="n">
        <v>14</v>
      </c>
      <c r="G1714" s="6" t="n">
        <v>61.08</v>
      </c>
      <c r="H1714" s="6" t="n">
        <v>111</v>
      </c>
      <c r="I1714" s="6" t="n">
        <v>855.12</v>
      </c>
      <c r="J1714" s="6" t="n">
        <v>744.12</v>
      </c>
    </row>
    <row collapsed="false" customFormat="false" customHeight="false" hidden="false" ht="12.1" outlineLevel="0" r="1715">
      <c r="A1715" s="35" t="n">
        <v>51411</v>
      </c>
      <c r="B1715" s="16" t="s">
        <v>1375</v>
      </c>
      <c r="C1715" s="16" t="s">
        <v>208</v>
      </c>
      <c r="D1715" s="16" t="s">
        <v>209</v>
      </c>
      <c r="E1715" s="6" t="n">
        <v>1000</v>
      </c>
      <c r="F1715" s="7" t="n">
        <v>2</v>
      </c>
      <c r="G1715" s="6" t="n">
        <v>64.82</v>
      </c>
      <c r="H1715" s="6" t="n">
        <v>17</v>
      </c>
      <c r="I1715" s="6" t="n">
        <v>129.64</v>
      </c>
      <c r="J1715" s="6" t="n">
        <v>112.64</v>
      </c>
    </row>
    <row collapsed="false" customFormat="false" customHeight="false" hidden="false" ht="12.1" outlineLevel="0" r="1716">
      <c r="A1716" s="35" t="n">
        <v>51453</v>
      </c>
      <c r="B1716" s="16" t="s">
        <v>1375</v>
      </c>
      <c r="C1716" s="16" t="s">
        <v>94</v>
      </c>
      <c r="D1716" s="16" t="s">
        <v>95</v>
      </c>
      <c r="E1716" s="6" t="n">
        <v>1000</v>
      </c>
      <c r="F1716" s="7" t="n">
        <v>23</v>
      </c>
      <c r="G1716" s="6" t="n">
        <v>35.4</v>
      </c>
      <c r="H1716" s="6" t="n">
        <v>106</v>
      </c>
      <c r="I1716" s="6" t="n">
        <v>814.2</v>
      </c>
      <c r="J1716" s="6" t="n">
        <v>708.2</v>
      </c>
    </row>
    <row collapsed="false" customFormat="false" customHeight="false" hidden="false" ht="12.1" outlineLevel="0" r="1717">
      <c r="A1717" s="35" t="n">
        <v>51635</v>
      </c>
      <c r="B1717" s="16" t="s">
        <v>1375</v>
      </c>
      <c r="C1717" s="16" t="s">
        <v>94</v>
      </c>
      <c r="D1717" s="16" t="s">
        <v>95</v>
      </c>
      <c r="E1717" s="6" t="n">
        <v>1000</v>
      </c>
      <c r="F1717" s="7" t="n">
        <v>23</v>
      </c>
      <c r="G1717" s="6" t="n">
        <v>35.4</v>
      </c>
      <c r="H1717" s="6" t="n">
        <v>106</v>
      </c>
      <c r="I1717" s="6" t="n">
        <v>814.2</v>
      </c>
      <c r="J1717" s="6" t="n">
        <v>708.2</v>
      </c>
    </row>
  </sheetData>
  <autoFilter ref="A1:J17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342</v>
      </c>
      <c r="B1" s="34" t="s">
        <v>1365</v>
      </c>
      <c r="C1" s="34" t="s">
        <v>0</v>
      </c>
      <c r="D1" s="34" t="s">
        <v>2</v>
      </c>
      <c r="E1" s="34" t="s">
        <v>1366</v>
      </c>
      <c r="F1" s="34" t="s">
        <v>1394</v>
      </c>
      <c r="G1" s="34" t="s">
        <v>1395</v>
      </c>
      <c r="H1" s="34" t="s">
        <v>347</v>
      </c>
      <c r="I1" s="34" t="s">
        <v>1396</v>
      </c>
      <c r="J1" s="34" t="s">
        <v>1397</v>
      </c>
      <c r="K1" s="34" t="s">
        <v>1398</v>
      </c>
      <c r="L1" s="34" t="s">
        <v>1399</v>
      </c>
      <c r="M1" s="34" t="s">
        <v>1400</v>
      </c>
      <c r="N1" s="34" t="s">
        <v>1401</v>
      </c>
      <c r="O1" s="34" t="s">
        <v>1402</v>
      </c>
    </row>
    <row collapsed="false" customFormat="false" customHeight="false" hidden="false" ht="12.1" outlineLevel="0" r="2">
      <c r="A2" s="36" t="n">
        <v>44910</v>
      </c>
      <c r="B2" s="16" t="s">
        <v>1375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1168</v>
      </c>
      <c r="J2" s="17" t="n">
        <v>136.207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44950</v>
      </c>
      <c r="B3" s="16" t="s">
        <v>1375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1128</v>
      </c>
      <c r="J3" s="17" t="n">
        <v>154.753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44984</v>
      </c>
      <c r="B4" s="16" t="s">
        <v>1375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1094</v>
      </c>
      <c r="J4" s="17" t="n">
        <v>169.868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45056</v>
      </c>
      <c r="B5" s="16" t="s">
        <v>1375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1022</v>
      </c>
      <c r="J5" s="17" t="n">
        <v>222.355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45056</v>
      </c>
      <c r="B6" s="16" t="s">
        <v>1375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1022</v>
      </c>
      <c r="J6" s="17" t="n">
        <v>222.315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45198</v>
      </c>
      <c r="B7" s="16" t="s">
        <v>1375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880</v>
      </c>
      <c r="J7" s="17" t="n">
        <v>261.522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45219</v>
      </c>
      <c r="B8" s="16" t="s">
        <v>1375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859</v>
      </c>
      <c r="J8" s="17" t="n">
        <v>268.072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45244</v>
      </c>
      <c r="B9" s="16" t="s">
        <v>1375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834</v>
      </c>
      <c r="J9" s="17" t="n">
        <v>283.829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45267</v>
      </c>
      <c r="B10" s="16" t="s">
        <v>1375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811</v>
      </c>
      <c r="J10" s="17" t="n">
        <v>268.784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45324</v>
      </c>
      <c r="B11" s="16" t="s">
        <v>1375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754</v>
      </c>
      <c r="J11" s="17" t="n">
        <v>277.66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45324</v>
      </c>
      <c r="B12" s="16" t="s">
        <v>1375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754</v>
      </c>
      <c r="J12" s="17" t="n">
        <v>277.38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45324</v>
      </c>
      <c r="B13" s="16" t="s">
        <v>1375</v>
      </c>
      <c r="C13" s="16" t="s">
        <v>16</v>
      </c>
      <c r="D13" s="16" t="s">
        <v>18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754</v>
      </c>
      <c r="J13" s="17" t="n">
        <v>277.5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45418</v>
      </c>
      <c r="B14" s="16" t="s">
        <v>1375</v>
      </c>
      <c r="C14" s="16" t="s">
        <v>16</v>
      </c>
      <c r="D14" s="16" t="s">
        <v>18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660</v>
      </c>
      <c r="J14" s="17" t="n">
        <v>308.242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45597</v>
      </c>
      <c r="B15" s="16" t="s">
        <v>1375</v>
      </c>
      <c r="C15" s="16" t="s">
        <v>16</v>
      </c>
      <c r="D15" s="16" t="s">
        <v>18</v>
      </c>
      <c r="E15" s="17" t="n">
        <v>30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481</v>
      </c>
      <c r="J15" s="17" t="n">
        <v>235.755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45639</v>
      </c>
      <c r="B16" s="16" t="s">
        <v>1375</v>
      </c>
      <c r="C16" s="16" t="s">
        <v>16</v>
      </c>
      <c r="D16" s="16" t="s">
        <v>18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439</v>
      </c>
      <c r="J16" s="17" t="n">
        <v>228.975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45840</v>
      </c>
      <c r="B17" s="16" t="s">
        <v>1375</v>
      </c>
      <c r="C17" s="16" t="s">
        <v>16</v>
      </c>
      <c r="D17" s="16" t="s">
        <v>18</v>
      </c>
      <c r="E17" s="17" t="n">
        <v>20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238</v>
      </c>
      <c r="J17" s="17" t="n">
        <v>320.348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45869</v>
      </c>
      <c r="B18" s="16" t="s">
        <v>1375</v>
      </c>
      <c r="C18" s="16" t="s">
        <v>16</v>
      </c>
      <c r="D18" s="16" t="s">
        <v>18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209</v>
      </c>
      <c r="J18" s="17" t="n">
        <v>304.352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45901</v>
      </c>
      <c r="B19" s="16" t="s">
        <v>1375</v>
      </c>
      <c r="C19" s="16" t="s">
        <v>16</v>
      </c>
      <c r="D19" s="16" t="s">
        <v>18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177</v>
      </c>
      <c r="J19" s="17" t="n">
        <v>309.284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45931</v>
      </c>
      <c r="B20" s="16" t="s">
        <v>1375</v>
      </c>
      <c r="C20" s="16" t="s">
        <v>16</v>
      </c>
      <c r="D20" s="16" t="s">
        <v>18</v>
      </c>
      <c r="E20" s="17" t="n">
        <v>31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147</v>
      </c>
      <c r="J20" s="17" t="n">
        <v>290.9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45988</v>
      </c>
      <c r="B21" s="16" t="s">
        <v>1375</v>
      </c>
      <c r="C21" s="16" t="s">
        <v>16</v>
      </c>
      <c r="D21" s="16" t="s">
        <v>18</v>
      </c>
      <c r="E21" s="17" t="n">
        <v>19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90</v>
      </c>
      <c r="J21" s="17" t="n">
        <v>305.64421052632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45869</v>
      </c>
      <c r="B22" s="16" t="s">
        <v>1375</v>
      </c>
      <c r="C22" s="16" t="s">
        <v>21</v>
      </c>
      <c r="D22" s="16" t="s">
        <v>22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209</v>
      </c>
      <c r="J22" s="17" t="n">
        <v>4182.67</v>
      </c>
      <c r="K22" s="6" t="s">
        <f>=Портфель!F3*Портфель!$Q$13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45901</v>
      </c>
      <c r="B23" s="16" t="s">
        <v>1375</v>
      </c>
      <c r="C23" s="16" t="s">
        <v>21</v>
      </c>
      <c r="D23" s="16" t="s">
        <v>22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177</v>
      </c>
      <c r="J23" s="17" t="n">
        <v>4297.22</v>
      </c>
      <c r="K23" s="6" t="s">
        <f>=Портфель!F3*Портфель!$Q$13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45988</v>
      </c>
      <c r="B24" s="16" t="s">
        <v>1375</v>
      </c>
      <c r="C24" s="16" t="s">
        <v>21</v>
      </c>
      <c r="D24" s="16" t="s">
        <v>22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90</v>
      </c>
      <c r="J24" s="17" t="n">
        <v>4169.47</v>
      </c>
      <c r="K24" s="6" t="s">
        <f>=Портфель!F3*Портфель!$Q$13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45001</v>
      </c>
      <c r="B25" s="16" t="s">
        <v>1375</v>
      </c>
      <c r="C25" s="16" t="s">
        <v>24</v>
      </c>
      <c r="D25" s="16" t="s">
        <v>25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1077</v>
      </c>
      <c r="J25" s="17" t="n">
        <v>921.506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45639</v>
      </c>
      <c r="B26" s="16" t="s">
        <v>1375</v>
      </c>
      <c r="C26" s="16" t="s">
        <v>27</v>
      </c>
      <c r="D26" s="16" t="s">
        <v>28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439</v>
      </c>
      <c r="J26" s="17" t="n">
        <v>2295.87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45751</v>
      </c>
      <c r="B27" s="16" t="s">
        <v>1375</v>
      </c>
      <c r="C27" s="16" t="s">
        <v>27</v>
      </c>
      <c r="D27" s="16" t="s">
        <v>28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327</v>
      </c>
      <c r="J27" s="17" t="n">
        <v>3222.0366666667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45751</v>
      </c>
      <c r="B28" s="16" t="s">
        <v>1375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327</v>
      </c>
      <c r="J28" s="17" t="n">
        <v>3225.65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45776</v>
      </c>
      <c r="B29" s="16" t="s">
        <v>1375</v>
      </c>
      <c r="C29" s="16" t="s">
        <v>27</v>
      </c>
      <c r="D29" s="16" t="s">
        <v>28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302</v>
      </c>
      <c r="J29" s="17" t="n">
        <v>3286.23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45813</v>
      </c>
      <c r="B30" s="16" t="s">
        <v>1375</v>
      </c>
      <c r="C30" s="16" t="s">
        <v>27</v>
      </c>
      <c r="D30" s="16" t="s">
        <v>28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265</v>
      </c>
      <c r="J30" s="17" t="n">
        <v>3315.92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44929</v>
      </c>
      <c r="B31" s="16" t="s">
        <v>1375</v>
      </c>
      <c r="C31" s="16" t="s">
        <v>30</v>
      </c>
      <c r="D31" s="16" t="s">
        <v>31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1149</v>
      </c>
      <c r="J31" s="17" t="n">
        <v>141.965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44984</v>
      </c>
      <c r="B32" s="16" t="s">
        <v>1375</v>
      </c>
      <c r="C32" s="16" t="s">
        <v>30</v>
      </c>
      <c r="D32" s="16" t="s">
        <v>31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1094</v>
      </c>
      <c r="J32" s="17" t="n">
        <v>167.882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45418</v>
      </c>
      <c r="B33" s="16" t="s">
        <v>1375</v>
      </c>
      <c r="C33" s="16" t="s">
        <v>30</v>
      </c>
      <c r="D33" s="16" t="s">
        <v>31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660</v>
      </c>
      <c r="J33" s="17" t="n">
        <v>307.831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45988</v>
      </c>
      <c r="B34" s="16" t="s">
        <v>1375</v>
      </c>
      <c r="C34" s="16" t="s">
        <v>30</v>
      </c>
      <c r="D34" s="16" t="s">
        <v>31</v>
      </c>
      <c r="E34" s="17" t="n">
        <v>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90</v>
      </c>
      <c r="J34" s="17" t="n">
        <v>300.66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44769</v>
      </c>
      <c r="B35" s="16" t="s">
        <v>1375</v>
      </c>
      <c r="C35" s="16" t="s">
        <v>33</v>
      </c>
      <c r="D35" s="16" t="s">
        <v>34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1309</v>
      </c>
      <c r="J35" s="17" t="n">
        <v>197.651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45418</v>
      </c>
      <c r="B36" s="16" t="s">
        <v>1375</v>
      </c>
      <c r="C36" s="16" t="s">
        <v>33</v>
      </c>
      <c r="D36" s="16" t="s">
        <v>34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660</v>
      </c>
      <c r="J36" s="17" t="n">
        <v>155.906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45418</v>
      </c>
      <c r="B37" s="16" t="s">
        <v>1375</v>
      </c>
      <c r="C37" s="16" t="s">
        <v>33</v>
      </c>
      <c r="D37" s="16" t="s">
        <v>34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660</v>
      </c>
      <c r="J37" s="17" t="n">
        <v>155.876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45506</v>
      </c>
      <c r="B38" s="16" t="s">
        <v>1375</v>
      </c>
      <c r="C38" s="16" t="s">
        <v>33</v>
      </c>
      <c r="D38" s="16" t="s">
        <v>34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572</v>
      </c>
      <c r="J38" s="17" t="n">
        <v>132.356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45597</v>
      </c>
      <c r="B39" s="16" t="s">
        <v>1375</v>
      </c>
      <c r="C39" s="16" t="s">
        <v>33</v>
      </c>
      <c r="D39" s="16" t="s">
        <v>34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481</v>
      </c>
      <c r="J39" s="17" t="n">
        <v>123.67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45729</v>
      </c>
      <c r="B40" s="16" t="s">
        <v>1375</v>
      </c>
      <c r="C40" s="16" t="s">
        <v>33</v>
      </c>
      <c r="D40" s="16" t="s">
        <v>34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349</v>
      </c>
      <c r="J40" s="17" t="n">
        <v>164.422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44984</v>
      </c>
      <c r="B41" s="16" t="s">
        <v>1375</v>
      </c>
      <c r="C41" s="16" t="s">
        <v>36</v>
      </c>
      <c r="D41" s="16" t="s">
        <v>37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1094</v>
      </c>
      <c r="J41" s="17" t="n">
        <v>116.147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45506</v>
      </c>
      <c r="B42" s="16" t="s">
        <v>1375</v>
      </c>
      <c r="C42" s="16" t="s">
        <v>36</v>
      </c>
      <c r="D42" s="16" t="s">
        <v>37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572</v>
      </c>
      <c r="J42" s="17" t="n">
        <v>229.366</v>
      </c>
      <c r="K42" s="6" t="s">
        <f>=Портфель!F8*Портфель!$Q$13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45729</v>
      </c>
      <c r="B43" s="16" t="s">
        <v>1375</v>
      </c>
      <c r="C43" s="16" t="s">
        <v>36</v>
      </c>
      <c r="D43" s="16" t="s">
        <v>37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349</v>
      </c>
      <c r="J43" s="17" t="n">
        <v>209.878</v>
      </c>
      <c r="K43" s="6" t="s">
        <f>=Портфель!F8*Портфель!$Q$13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44769</v>
      </c>
      <c r="B44" s="16" t="s">
        <v>1375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1309</v>
      </c>
      <c r="J44" s="17" t="n">
        <v>394.48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45597</v>
      </c>
      <c r="B45" s="16" t="s">
        <v>1375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481</v>
      </c>
      <c r="J45" s="17" t="n">
        <v>540.52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45639</v>
      </c>
      <c r="B46" s="16" t="s">
        <v>1375</v>
      </c>
      <c r="C46" s="16" t="s">
        <v>39</v>
      </c>
      <c r="D46" s="16" t="s">
        <v>40</v>
      </c>
      <c r="E46" s="17" t="n">
        <v>6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439</v>
      </c>
      <c r="J46" s="17" t="n">
        <v>562.98333333333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45639</v>
      </c>
      <c r="B47" s="16" t="s">
        <v>1375</v>
      </c>
      <c r="C47" s="16" t="s">
        <v>39</v>
      </c>
      <c r="D47" s="16" t="s">
        <v>40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439</v>
      </c>
      <c r="J47" s="17" t="n">
        <v>563.79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45729</v>
      </c>
      <c r="B48" s="16" t="s">
        <v>1375</v>
      </c>
      <c r="C48" s="16" t="s">
        <v>39</v>
      </c>
      <c r="D48" s="16" t="s">
        <v>40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349</v>
      </c>
      <c r="J48" s="17" t="n">
        <v>697.19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44769</v>
      </c>
      <c r="B49" s="16" t="s">
        <v>1375</v>
      </c>
      <c r="C49" s="16" t="s">
        <v>42</v>
      </c>
      <c r="D49" s="16" t="s">
        <v>43</v>
      </c>
      <c r="E49" s="17" t="n">
        <v>100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1309</v>
      </c>
      <c r="J49" s="17" t="n">
        <v>3.3159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44984</v>
      </c>
      <c r="B50" s="16" t="s">
        <v>1375</v>
      </c>
      <c r="C50" s="16" t="s">
        <v>42</v>
      </c>
      <c r="D50" s="16" t="s">
        <v>43</v>
      </c>
      <c r="E50" s="17" t="n">
        <v>100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1094</v>
      </c>
      <c r="J50" s="17" t="n">
        <v>3.4217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45026</v>
      </c>
      <c r="B51" s="16" t="s">
        <v>1375</v>
      </c>
      <c r="C51" s="16" t="s">
        <v>42</v>
      </c>
      <c r="D51" s="16" t="s">
        <v>43</v>
      </c>
      <c r="E51" s="17" t="n">
        <v>200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1052</v>
      </c>
      <c r="J51" s="17" t="n">
        <v>3.851</v>
      </c>
      <c r="K51" s="6" t="s">
        <f>=Портфель!F10*Портфель!$Q$13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45198</v>
      </c>
      <c r="B52" s="16" t="s">
        <v>1375</v>
      </c>
      <c r="C52" s="16" t="s">
        <v>42</v>
      </c>
      <c r="D52" s="16" t="s">
        <v>43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880</v>
      </c>
      <c r="J52" s="17" t="n">
        <v>4.2994</v>
      </c>
      <c r="K52" s="6" t="s">
        <f>=Портфель!F10*Портфель!$Q$13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45219</v>
      </c>
      <c r="B53" s="16" t="s">
        <v>1375</v>
      </c>
      <c r="C53" s="16" t="s">
        <v>42</v>
      </c>
      <c r="D53" s="16" t="s">
        <v>43</v>
      </c>
      <c r="E53" s="17" t="n">
        <v>200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859</v>
      </c>
      <c r="J53" s="17" t="n">
        <v>4.43075</v>
      </c>
      <c r="K53" s="6" t="s">
        <f>=Портфель!F10*Портфель!$Q$13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45244</v>
      </c>
      <c r="B54" s="16" t="s">
        <v>1375</v>
      </c>
      <c r="C54" s="16" t="s">
        <v>42</v>
      </c>
      <c r="D54" s="16" t="s">
        <v>43</v>
      </c>
      <c r="E54" s="17" t="n">
        <v>100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834</v>
      </c>
      <c r="J54" s="17" t="n">
        <v>4.2828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45324</v>
      </c>
      <c r="B55" s="16" t="s">
        <v>1375</v>
      </c>
      <c r="C55" s="16" t="s">
        <v>42</v>
      </c>
      <c r="D55" s="16" t="s">
        <v>43</v>
      </c>
      <c r="E55" s="17" t="n">
        <v>100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754</v>
      </c>
      <c r="J55" s="17" t="n">
        <v>4.0652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45356</v>
      </c>
      <c r="B56" s="16" t="s">
        <v>1375</v>
      </c>
      <c r="C56" s="16" t="s">
        <v>42</v>
      </c>
      <c r="D56" s="16" t="s">
        <v>43</v>
      </c>
      <c r="E56" s="17" t="n">
        <v>100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722</v>
      </c>
      <c r="J56" s="17" t="n">
        <v>4.0777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45506</v>
      </c>
      <c r="B57" s="16" t="s">
        <v>1375</v>
      </c>
      <c r="C57" s="16" t="s">
        <v>42</v>
      </c>
      <c r="D57" s="16" t="s">
        <v>43</v>
      </c>
      <c r="E57" s="17" t="n">
        <v>100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572</v>
      </c>
      <c r="J57" s="17" t="n">
        <v>3.8024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45541</v>
      </c>
      <c r="B58" s="16" t="s">
        <v>1375</v>
      </c>
      <c r="C58" s="16" t="s">
        <v>42</v>
      </c>
      <c r="D58" s="16" t="s">
        <v>43</v>
      </c>
      <c r="E58" s="17" t="n">
        <v>100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537</v>
      </c>
      <c r="J58" s="17" t="n">
        <v>3.6399</v>
      </c>
      <c r="K58" s="6" t="s">
        <f>=Портфель!F10*Портфель!$Q$13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45597</v>
      </c>
      <c r="B59" s="16" t="s">
        <v>1375</v>
      </c>
      <c r="C59" s="16" t="s">
        <v>42</v>
      </c>
      <c r="D59" s="16" t="s">
        <v>43</v>
      </c>
      <c r="E59" s="17" t="n">
        <v>100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481</v>
      </c>
      <c r="J59" s="17" t="n">
        <v>3.8094</v>
      </c>
      <c r="K59" s="6" t="s">
        <f>=Портфель!F10*Портфель!$Q$13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45639</v>
      </c>
      <c r="B60" s="16" t="s">
        <v>1375</v>
      </c>
      <c r="C60" s="16" t="s">
        <v>42</v>
      </c>
      <c r="D60" s="16" t="s">
        <v>43</v>
      </c>
      <c r="E60" s="17" t="n">
        <v>100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439</v>
      </c>
      <c r="J60" s="17" t="n">
        <v>3.5948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45198</v>
      </c>
      <c r="B61" s="16" t="s">
        <v>1375</v>
      </c>
      <c r="C61" s="16" t="s">
        <v>45</v>
      </c>
      <c r="D61" s="16" t="s">
        <v>46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880</v>
      </c>
      <c r="J61" s="17" t="n">
        <v>276.176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45597</v>
      </c>
      <c r="B62" s="16" t="s">
        <v>1375</v>
      </c>
      <c r="C62" s="16" t="s">
        <v>45</v>
      </c>
      <c r="D62" s="16" t="s">
        <v>46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481</v>
      </c>
      <c r="J62" s="17" t="n">
        <v>183.699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44761</v>
      </c>
      <c r="B63" s="16" t="s">
        <v>1375</v>
      </c>
      <c r="C63" s="16" t="s">
        <v>48</v>
      </c>
      <c r="D63" s="16" t="s">
        <v>49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1317</v>
      </c>
      <c r="J63" s="17" t="n">
        <v>753.75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45324</v>
      </c>
      <c r="B64" s="16" t="s">
        <v>1375</v>
      </c>
      <c r="C64" s="16" t="s">
        <v>48</v>
      </c>
      <c r="D64" s="16" t="s">
        <v>49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754</v>
      </c>
      <c r="J64" s="17" t="n">
        <v>728.28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45356</v>
      </c>
      <c r="B65" s="16" t="s">
        <v>1375</v>
      </c>
      <c r="C65" s="16" t="s">
        <v>48</v>
      </c>
      <c r="D65" s="16" t="s">
        <v>49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722</v>
      </c>
      <c r="J65" s="17" t="n">
        <v>894.975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45418</v>
      </c>
      <c r="B66" s="16" t="s">
        <v>1375</v>
      </c>
      <c r="C66" s="16" t="s">
        <v>48</v>
      </c>
      <c r="D66" s="16" t="s">
        <v>49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660</v>
      </c>
      <c r="J66" s="17" t="n">
        <v>837.405</v>
      </c>
      <c r="K66" s="6" t="s">
        <f>=Портфель!F12*Портфель!$Q$13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45506</v>
      </c>
      <c r="B67" s="16" t="s">
        <v>1375</v>
      </c>
      <c r="C67" s="16" t="s">
        <v>48</v>
      </c>
      <c r="D67" s="16" t="s">
        <v>49</v>
      </c>
      <c r="E67" s="17" t="n">
        <v>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572</v>
      </c>
      <c r="J67" s="17" t="n">
        <v>753.4525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44748</v>
      </c>
      <c r="B68" s="16" t="s">
        <v>1375</v>
      </c>
      <c r="C68" s="16" t="s">
        <v>51</v>
      </c>
      <c r="D68" s="16" t="s">
        <v>52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1330</v>
      </c>
      <c r="J68" s="17" t="n">
        <v>94.91</v>
      </c>
      <c r="K68" s="6" t="s">
        <f>=Портфель!F13*Портфель!$Q$13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44984</v>
      </c>
      <c r="B69" s="16" t="s">
        <v>1375</v>
      </c>
      <c r="C69" s="16" t="s">
        <v>51</v>
      </c>
      <c r="D69" s="16" t="s">
        <v>52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1094</v>
      </c>
      <c r="J69" s="17" t="n">
        <v>82.37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45026</v>
      </c>
      <c r="B70" s="16" t="s">
        <v>1375</v>
      </c>
      <c r="C70" s="16" t="s">
        <v>51</v>
      </c>
      <c r="D70" s="16" t="s">
        <v>52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1052</v>
      </c>
      <c r="J70" s="17" t="n">
        <v>94.758333333333</v>
      </c>
      <c r="K70" s="6" t="s">
        <f>=Портфель!F13*Портфель!$Q$13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45198</v>
      </c>
      <c r="B71" s="16" t="s">
        <v>1375</v>
      </c>
      <c r="C71" s="16" t="s">
        <v>51</v>
      </c>
      <c r="D71" s="16" t="s">
        <v>52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880</v>
      </c>
      <c r="J71" s="17" t="n">
        <v>129.035</v>
      </c>
      <c r="K71" s="6" t="s">
        <f>=Портфель!F13*Портфель!$Q$13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45219</v>
      </c>
      <c r="B72" s="16" t="s">
        <v>1375</v>
      </c>
      <c r="C72" s="16" t="s">
        <v>51</v>
      </c>
      <c r="D72" s="16" t="s">
        <v>52</v>
      </c>
      <c r="E72" s="17" t="n">
        <v>4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859</v>
      </c>
      <c r="J72" s="17" t="n">
        <v>130.24</v>
      </c>
      <c r="K72" s="6" t="s">
        <f>=Портфель!F13*Портфель!$Q$13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45324</v>
      </c>
      <c r="B73" s="16" t="s">
        <v>1375</v>
      </c>
      <c r="C73" s="16" t="s">
        <v>51</v>
      </c>
      <c r="D73" s="16" t="s">
        <v>52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754</v>
      </c>
      <c r="J73" s="17" t="n">
        <v>123.07</v>
      </c>
      <c r="K73" s="6" t="s">
        <f>=Портфель!F13*Портфель!$Q$13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45356</v>
      </c>
      <c r="B74" s="16" t="s">
        <v>1375</v>
      </c>
      <c r="C74" s="16" t="s">
        <v>51</v>
      </c>
      <c r="D74" s="16" t="s">
        <v>52</v>
      </c>
      <c r="E74" s="17" t="n">
        <v>4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722</v>
      </c>
      <c r="J74" s="17" t="n">
        <v>118.93</v>
      </c>
      <c r="K74" s="6" t="s">
        <f>=Портфель!F13*Портфель!$Q$13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45541</v>
      </c>
      <c r="B75" s="16" t="s">
        <v>1375</v>
      </c>
      <c r="C75" s="16" t="s">
        <v>51</v>
      </c>
      <c r="D75" s="16" t="s">
        <v>52</v>
      </c>
      <c r="E75" s="17" t="n">
        <v>8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537</v>
      </c>
      <c r="J75" s="17" t="n">
        <v>87.37125</v>
      </c>
      <c r="K75" s="6" t="s">
        <f>=Портфель!F13*Портфель!$Q$13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45729</v>
      </c>
      <c r="B76" s="16" t="s">
        <v>1375</v>
      </c>
      <c r="C76" s="16" t="s">
        <v>51</v>
      </c>
      <c r="D76" s="16" t="s">
        <v>52</v>
      </c>
      <c r="E76" s="17" t="n">
        <v>20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349</v>
      </c>
      <c r="J76" s="17" t="n">
        <v>89.237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45085</v>
      </c>
      <c r="B77" s="16" t="s">
        <v>1375</v>
      </c>
      <c r="C77" s="16" t="s">
        <v>53</v>
      </c>
      <c r="D77" s="16" t="s">
        <v>54</v>
      </c>
      <c r="E77" s="17" t="n">
        <v>100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993</v>
      </c>
      <c r="J77" s="17" t="n">
        <v>33.42</v>
      </c>
      <c r="K77" s="6" t="s">
        <f>=Портфель!F14*Портфель!$Q$13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45639</v>
      </c>
      <c r="B78" s="16" t="s">
        <v>1375</v>
      </c>
      <c r="C78" s="16" t="s">
        <v>56</v>
      </c>
      <c r="D78" s="16" t="s">
        <v>57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439</v>
      </c>
      <c r="J78" s="17" t="n">
        <v>307.028</v>
      </c>
      <c r="K78" s="6" t="s">
        <f>=Портфель!F15*Портфель!$Q$13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44984</v>
      </c>
      <c r="B79" s="16" t="s">
        <v>1375</v>
      </c>
      <c r="C79" s="16" t="s">
        <v>59</v>
      </c>
      <c r="D79" s="16" t="s">
        <v>60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1094</v>
      </c>
      <c r="J79" s="17" t="n">
        <v>28.325</v>
      </c>
      <c r="K79" s="6" t="s">
        <f>=Портфель!F16*Портфель!$Q$13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45104</v>
      </c>
      <c r="B80" s="16" t="s">
        <v>1375</v>
      </c>
      <c r="C80" s="16" t="s">
        <v>59</v>
      </c>
      <c r="D80" s="16" t="s">
        <v>60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974</v>
      </c>
      <c r="J80" s="17" t="n">
        <v>42.006</v>
      </c>
      <c r="K80" s="6" t="s">
        <f>=Портфель!F16*Портфель!$Q$13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45219</v>
      </c>
      <c r="B81" s="16" t="s">
        <v>1375</v>
      </c>
      <c r="C81" s="16" t="s">
        <v>59</v>
      </c>
      <c r="D81" s="16" t="s">
        <v>60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859</v>
      </c>
      <c r="J81" s="17" t="n">
        <v>40.672</v>
      </c>
      <c r="K81" s="6" t="s">
        <f>=Портфель!F16*Портфель!$Q$13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45356</v>
      </c>
      <c r="B82" s="16" t="s">
        <v>1375</v>
      </c>
      <c r="C82" s="16" t="s">
        <v>59</v>
      </c>
      <c r="D82" s="16" t="s">
        <v>60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722</v>
      </c>
      <c r="J82" s="17" t="n">
        <v>40.341</v>
      </c>
      <c r="K82" s="6" t="s">
        <f>=Портфель!F16*Портфель!$Q$13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45541</v>
      </c>
      <c r="B83" s="16" t="s">
        <v>1375</v>
      </c>
      <c r="C83" s="16" t="s">
        <v>59</v>
      </c>
      <c r="D83" s="16" t="s">
        <v>60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537</v>
      </c>
      <c r="J83" s="17" t="n">
        <v>47.963</v>
      </c>
      <c r="K83" s="6" t="s">
        <f>=Портфель!F16*Портфель!$Q$13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45639</v>
      </c>
      <c r="B84" s="16" t="s">
        <v>1375</v>
      </c>
      <c r="C84" s="16" t="s">
        <v>59</v>
      </c>
      <c r="D84" s="16" t="s">
        <v>60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439</v>
      </c>
      <c r="J84" s="17" t="n">
        <v>47.853</v>
      </c>
      <c r="K84" s="6" t="s">
        <f>=Портфель!F16*Портфель!$Q$13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45035</v>
      </c>
      <c r="B85" s="16" t="s">
        <v>1375</v>
      </c>
      <c r="C85" s="16" t="s">
        <v>62</v>
      </c>
      <c r="D85" s="16" t="s">
        <v>63</v>
      </c>
      <c r="E85" s="17" t="n">
        <v>10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1043</v>
      </c>
      <c r="J85" s="17" t="n">
        <v>63.811</v>
      </c>
      <c r="K85" s="6" t="s">
        <f>=Портфель!F17*Портфель!$Q$13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45104</v>
      </c>
      <c r="B86" s="16" t="s">
        <v>1375</v>
      </c>
      <c r="C86" s="16" t="s">
        <v>62</v>
      </c>
      <c r="D86" s="16" t="s">
        <v>63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974</v>
      </c>
      <c r="J86" s="17" t="n">
        <v>72.818</v>
      </c>
      <c r="K86" s="6" t="s">
        <f>=Портфель!F17*Портфель!$Q$13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45324</v>
      </c>
      <c r="B87" s="16" t="s">
        <v>1375</v>
      </c>
      <c r="C87" s="16" t="s">
        <v>62</v>
      </c>
      <c r="D87" s="16" t="s">
        <v>63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754</v>
      </c>
      <c r="J87" s="17" t="n">
        <v>76.549</v>
      </c>
      <c r="K87" s="6" t="s">
        <f>=Портфель!F17*Портфель!$Q$13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45506</v>
      </c>
      <c r="B88" s="16" t="s">
        <v>1375</v>
      </c>
      <c r="C88" s="16" t="s">
        <v>62</v>
      </c>
      <c r="D88" s="16" t="s">
        <v>63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572</v>
      </c>
      <c r="J88" s="17" t="n">
        <v>82.537</v>
      </c>
      <c r="K88" s="6" t="s">
        <f>=Портфель!F17*Портфель!$Q$13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45639</v>
      </c>
      <c r="B89" s="16" t="s">
        <v>1375</v>
      </c>
      <c r="C89" s="16" t="s">
        <v>62</v>
      </c>
      <c r="D89" s="16" t="s">
        <v>63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439</v>
      </c>
      <c r="J89" s="17" t="n">
        <v>51.173</v>
      </c>
      <c r="K89" s="6" t="s">
        <f>=Портфель!F17*Портфель!$Q$13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45418</v>
      </c>
      <c r="B90" s="16" t="s">
        <v>1375</v>
      </c>
      <c r="C90" s="16" t="s">
        <v>65</v>
      </c>
      <c r="D90" s="16" t="s">
        <v>66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660</v>
      </c>
      <c r="J90" s="17" t="n">
        <v>154.121</v>
      </c>
      <c r="K90" s="6" t="s">
        <f>=Портфель!F18*Портфель!$Q$13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45541</v>
      </c>
      <c r="B91" s="16" t="s">
        <v>1375</v>
      </c>
      <c r="C91" s="16" t="s">
        <v>65</v>
      </c>
      <c r="D91" s="16" t="s">
        <v>66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537</v>
      </c>
      <c r="J91" s="17" t="n">
        <v>105.656</v>
      </c>
      <c r="K91" s="6" t="s">
        <f>=Портфель!F18*Портфель!$Q$13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44929</v>
      </c>
      <c r="B92" s="16" t="s">
        <v>1375</v>
      </c>
      <c r="C92" s="16" t="s">
        <v>67</v>
      </c>
      <c r="D92" s="16" t="s">
        <v>68</v>
      </c>
      <c r="E92" s="17" t="n">
        <v>100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1149</v>
      </c>
      <c r="J92" s="17" t="n">
        <v>12.0831</v>
      </c>
      <c r="K92" s="6" t="s">
        <f>=Портфель!F19*Портфель!$Q$13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45541</v>
      </c>
      <c r="B93" s="16" t="s">
        <v>1375</v>
      </c>
      <c r="C93" s="16" t="s">
        <v>67</v>
      </c>
      <c r="D93" s="16" t="s">
        <v>68</v>
      </c>
      <c r="E93" s="17" t="n">
        <v>100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537</v>
      </c>
      <c r="J93" s="17" t="n">
        <v>16.1272</v>
      </c>
      <c r="K93" s="6" t="s">
        <f>=Портфель!F19*Портфель!$Q$13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44858</v>
      </c>
      <c r="B94" s="16" t="s">
        <v>1375</v>
      </c>
      <c r="C94" s="16" t="s">
        <v>69</v>
      </c>
      <c r="D94" s="16" t="s">
        <v>70</v>
      </c>
      <c r="E94" s="17" t="n">
        <v>100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1220</v>
      </c>
      <c r="J94" s="17" t="n">
        <v>6.2647</v>
      </c>
      <c r="K94" s="6" t="s">
        <f>=Портфель!F20*Портфель!$Q$13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45198</v>
      </c>
      <c r="B95" s="16" t="s">
        <v>1375</v>
      </c>
      <c r="C95" s="16" t="s">
        <v>69</v>
      </c>
      <c r="D95" s="16" t="s">
        <v>70</v>
      </c>
      <c r="E95" s="17" t="n">
        <v>100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880</v>
      </c>
      <c r="J95" s="17" t="n">
        <v>7.1825</v>
      </c>
      <c r="K95" s="6" t="s">
        <f>=Портфель!F20*Портфель!$Q$13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45324</v>
      </c>
      <c r="B96" s="16" t="s">
        <v>1375</v>
      </c>
      <c r="C96" s="16" t="s">
        <v>69</v>
      </c>
      <c r="D96" s="16" t="s">
        <v>70</v>
      </c>
      <c r="E96" s="17" t="n">
        <v>100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754</v>
      </c>
      <c r="J96" s="17" t="n">
        <v>7.8304</v>
      </c>
      <c r="K96" s="6" t="s">
        <f>=Портфель!F20*Портфель!$Q$13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45597</v>
      </c>
      <c r="B97" s="16" t="s">
        <v>1375</v>
      </c>
      <c r="C97" s="16" t="s">
        <v>69</v>
      </c>
      <c r="D97" s="16" t="s">
        <v>70</v>
      </c>
      <c r="E97" s="17" t="n">
        <v>100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481</v>
      </c>
      <c r="J97" s="17" t="n">
        <v>5.8696</v>
      </c>
      <c r="K97" s="6" t="s">
        <f>=Портфель!F20*Портфель!$Q$13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44999</v>
      </c>
      <c r="B98" s="16" t="s">
        <v>1375</v>
      </c>
      <c r="C98" s="16" t="s">
        <v>71</v>
      </c>
      <c r="D98" s="16" t="s">
        <v>72</v>
      </c>
      <c r="E98" s="17" t="n">
        <v>100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1079</v>
      </c>
      <c r="J98" s="17" t="n">
        <v>22.3268</v>
      </c>
      <c r="K98" s="6" t="s">
        <f>=Портфель!F21*Портфель!$Q$13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44742</v>
      </c>
      <c r="B99" s="16" t="s">
        <v>1375</v>
      </c>
      <c r="C99" s="16" t="s">
        <v>73</v>
      </c>
      <c r="D99" s="16" t="s">
        <v>74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1336</v>
      </c>
      <c r="J99" s="17" t="n">
        <v>1031.08</v>
      </c>
      <c r="K99" s="6" t="s">
        <f>=Портфель!F22*Портфель!$Q$13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45729</v>
      </c>
      <c r="B100" s="16" t="s">
        <v>1375</v>
      </c>
      <c r="C100" s="16" t="s">
        <v>75</v>
      </c>
      <c r="D100" s="16" t="s">
        <v>76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349</v>
      </c>
      <c r="J100" s="17" t="n">
        <v>155.405</v>
      </c>
      <c r="K100" s="6" t="s">
        <f>=Портфель!F23*Портфель!$Q$13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44699</v>
      </c>
      <c r="B101" s="16" t="s">
        <v>1375</v>
      </c>
      <c r="C101" s="16" t="s">
        <v>77</v>
      </c>
      <c r="D101" s="16" t="s">
        <v>78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1379</v>
      </c>
      <c r="J101" s="17" t="n">
        <v>45.456</v>
      </c>
      <c r="K101" s="6" t="s">
        <f>=Портфель!F24*Портфель!$Q$13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44746</v>
      </c>
      <c r="B102" s="16" t="s">
        <v>1375</v>
      </c>
      <c r="C102" s="16" t="s">
        <v>77</v>
      </c>
      <c r="D102" s="16" t="s">
        <v>78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1332</v>
      </c>
      <c r="J102" s="17" t="n">
        <v>32.131</v>
      </c>
      <c r="K102" s="6" t="s">
        <f>=Портфель!F24*Портфель!$Q$13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44776</v>
      </c>
      <c r="B103" s="16" t="s">
        <v>1375</v>
      </c>
      <c r="C103" s="16" t="s">
        <v>77</v>
      </c>
      <c r="D103" s="16" t="s">
        <v>78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1302</v>
      </c>
      <c r="J103" s="17" t="n">
        <v>24.343</v>
      </c>
      <c r="K103" s="6" t="s">
        <f>=Портфель!F24*Портфель!$Q$13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45471</v>
      </c>
      <c r="B104" s="16" t="s">
        <v>1375</v>
      </c>
      <c r="C104" s="16" t="s">
        <v>79</v>
      </c>
      <c r="D104" s="16" t="s">
        <v>80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607</v>
      </c>
      <c r="J104" s="17" t="n">
        <v>42.181</v>
      </c>
      <c r="K104" s="6" t="s">
        <f>=Портфель!F25*Портфель!$Q$13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45541</v>
      </c>
      <c r="B105" s="16" t="s">
        <v>1375</v>
      </c>
      <c r="C105" s="16" t="s">
        <v>79</v>
      </c>
      <c r="D105" s="16" t="s">
        <v>80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537</v>
      </c>
      <c r="J105" s="17" t="n">
        <v>30.21</v>
      </c>
      <c r="K105" s="6" t="s">
        <f>=Портфель!F25*Портфель!$Q$13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45471</v>
      </c>
      <c r="B106" s="16" t="s">
        <v>1375</v>
      </c>
      <c r="C106" s="16" t="s">
        <v>81</v>
      </c>
      <c r="D106" s="16" t="s">
        <v>82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607</v>
      </c>
      <c r="J106" s="17" t="n">
        <v>70.722</v>
      </c>
      <c r="K106" s="6" t="s">
        <f>=Портфель!F26*Портфель!$Q$13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44708</v>
      </c>
      <c r="B107" s="16" t="s">
        <v>1375</v>
      </c>
      <c r="C107" s="16" t="s">
        <v>84</v>
      </c>
      <c r="D107" s="16" t="s">
        <v>86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1370</v>
      </c>
      <c r="J107" s="17" t="n">
        <v>786.84</v>
      </c>
      <c r="K107" s="6" t="s">
        <f>=Портфель!F28*Портфель!G28/100*Портфель!$Q$13+Портфель!H28*Портфель!$Q$13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44868</v>
      </c>
      <c r="B108" s="16" t="s">
        <v>1375</v>
      </c>
      <c r="C108" s="16" t="s">
        <v>84</v>
      </c>
      <c r="D108" s="16" t="s">
        <v>86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1210</v>
      </c>
      <c r="J108" s="17" t="n">
        <v>742.71</v>
      </c>
      <c r="K108" s="6" t="s">
        <f>=Портфель!F28*Портфель!G28/100*Портфель!$Q$13+Портфель!H28*Портфель!$Q$13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45061</v>
      </c>
      <c r="B109" s="16" t="s">
        <v>1375</v>
      </c>
      <c r="C109" s="16" t="s">
        <v>84</v>
      </c>
      <c r="D109" s="16" t="s">
        <v>86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1017</v>
      </c>
      <c r="J109" s="17" t="n">
        <v>731.95</v>
      </c>
      <c r="K109" s="6" t="s">
        <f>=Портфель!F28*Портфель!G28/100*Портфель!$Q$13+Портфель!H28*Портфель!$Q$13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45075</v>
      </c>
      <c r="B110" s="16" t="s">
        <v>1375</v>
      </c>
      <c r="C110" s="16" t="s">
        <v>84</v>
      </c>
      <c r="D110" s="16" t="s">
        <v>86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1003</v>
      </c>
      <c r="J110" s="17" t="n">
        <v>733.46</v>
      </c>
      <c r="K110" s="6" t="s">
        <f>=Портфель!F28*Портфель!G28/100*Портфель!$Q$13+Портфель!H28*Портфель!$Q$13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45085</v>
      </c>
      <c r="B111" s="16" t="s">
        <v>1375</v>
      </c>
      <c r="C111" s="16" t="s">
        <v>84</v>
      </c>
      <c r="D111" s="16" t="s">
        <v>86</v>
      </c>
      <c r="E111" s="17" t="n">
        <v>2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993</v>
      </c>
      <c r="J111" s="17" t="n">
        <v>731.555</v>
      </c>
      <c r="K111" s="6" t="s">
        <f>=Портфель!F28*Портфель!G28/100*Портфель!$Q$13+Портфель!H28*Портфель!$Q$13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45104</v>
      </c>
      <c r="B112" s="16" t="s">
        <v>1375</v>
      </c>
      <c r="C112" s="16" t="s">
        <v>84</v>
      </c>
      <c r="D112" s="16" t="s">
        <v>86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974</v>
      </c>
      <c r="J112" s="17" t="n">
        <v>726.88</v>
      </c>
      <c r="K112" s="6" t="s">
        <f>=Портфель!F28*Портфель!G28/100*Портфель!$Q$13+Портфель!H28*Портфель!$Q$13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45114</v>
      </c>
      <c r="B113" s="16" t="s">
        <v>1375</v>
      </c>
      <c r="C113" s="16" t="s">
        <v>84</v>
      </c>
      <c r="D113" s="16" t="s">
        <v>86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964</v>
      </c>
      <c r="J113" s="17" t="n">
        <v>724.67</v>
      </c>
      <c r="K113" s="6" t="s">
        <f>=Портфель!F28*Портфель!G28/100*Портфель!$Q$13+Портфель!H28*Портфель!$Q$13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45147</v>
      </c>
      <c r="B114" s="16" t="s">
        <v>1375</v>
      </c>
      <c r="C114" s="16" t="s">
        <v>84</v>
      </c>
      <c r="D114" s="16" t="s">
        <v>86</v>
      </c>
      <c r="E114" s="17" t="n">
        <v>2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931</v>
      </c>
      <c r="J114" s="17" t="n">
        <v>690.59</v>
      </c>
      <c r="K114" s="6" t="s">
        <f>=Портфель!F28*Портфель!G28/100*Портфель!$Q$13+Портфель!H28*Портфель!$Q$13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45184</v>
      </c>
      <c r="B115" s="16" t="s">
        <v>1375</v>
      </c>
      <c r="C115" s="16" t="s">
        <v>84</v>
      </c>
      <c r="D115" s="16" t="s">
        <v>86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894</v>
      </c>
      <c r="J115" s="17" t="n">
        <v>676.34</v>
      </c>
      <c r="K115" s="6" t="s">
        <f>=Портфель!F28*Портфель!G28/100*Портфель!$Q$13+Портфель!H28*Портфель!$Q$13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45184</v>
      </c>
      <c r="B116" s="16" t="s">
        <v>1375</v>
      </c>
      <c r="C116" s="16" t="s">
        <v>84</v>
      </c>
      <c r="D116" s="16" t="s">
        <v>86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894</v>
      </c>
      <c r="J116" s="17" t="n">
        <v>676.34</v>
      </c>
      <c r="K116" s="6" t="s">
        <f>=Портфель!F28*Портфель!G28/100*Портфель!$Q$13+Портфель!H28*Портфель!$Q$13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45184</v>
      </c>
      <c r="B117" s="16" t="s">
        <v>1375</v>
      </c>
      <c r="C117" s="16" t="s">
        <v>84</v>
      </c>
      <c r="D117" s="16" t="s">
        <v>86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894</v>
      </c>
      <c r="J117" s="17" t="n">
        <v>676.34</v>
      </c>
      <c r="K117" s="6" t="s">
        <f>=Портфель!F28*Портфель!G28/100*Портфель!$Q$13+Портфель!H28*Портфель!$Q$13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45240</v>
      </c>
      <c r="B118" s="16" t="s">
        <v>1375</v>
      </c>
      <c r="C118" s="16" t="s">
        <v>84</v>
      </c>
      <c r="D118" s="16" t="s">
        <v>86</v>
      </c>
      <c r="E118" s="17" t="n">
        <v>2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838</v>
      </c>
      <c r="J118" s="17" t="n">
        <v>685.85</v>
      </c>
      <c r="K118" s="6" t="s">
        <f>=Портфель!F28*Портфель!G28/100*Портфель!$Q$13+Портфель!H28*Портфель!$Q$13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45267</v>
      </c>
      <c r="B119" s="16" t="s">
        <v>1375</v>
      </c>
      <c r="C119" s="16" t="s">
        <v>84</v>
      </c>
      <c r="D119" s="16" t="s">
        <v>86</v>
      </c>
      <c r="E119" s="17" t="n">
        <v>3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811</v>
      </c>
      <c r="J119" s="17" t="n">
        <v>669.11</v>
      </c>
      <c r="K119" s="6" t="s">
        <f>=Портфель!F28*Портфель!G28/100*Портфель!$Q$13+Портфель!H28*Портфель!$Q$13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45351</v>
      </c>
      <c r="B120" s="16" t="s">
        <v>1375</v>
      </c>
      <c r="C120" s="16" t="s">
        <v>84</v>
      </c>
      <c r="D120" s="16" t="s">
        <v>86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727</v>
      </c>
      <c r="J120" s="17" t="n">
        <v>644.92</v>
      </c>
      <c r="K120" s="6" t="s">
        <f>=Портфель!F28*Портфель!G28/100*Портфель!$Q$13+Портфель!H28*Портфель!$Q$13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45351</v>
      </c>
      <c r="B121" s="16" t="s">
        <v>1375</v>
      </c>
      <c r="C121" s="16" t="s">
        <v>84</v>
      </c>
      <c r="D121" s="16" t="s">
        <v>86</v>
      </c>
      <c r="E121" s="17" t="n">
        <v>4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727</v>
      </c>
      <c r="J121" s="17" t="n">
        <v>644.925</v>
      </c>
      <c r="K121" s="6" t="s">
        <f>=Портфель!F28*Портфель!G28/100*Портфель!$Q$13+Портфель!H28*Портфель!$Q$13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45356</v>
      </c>
      <c r="B122" s="16" t="s">
        <v>1375</v>
      </c>
      <c r="C122" s="16" t="s">
        <v>84</v>
      </c>
      <c r="D122" s="16" t="s">
        <v>86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722</v>
      </c>
      <c r="J122" s="17" t="n">
        <v>640.83</v>
      </c>
      <c r="K122" s="6" t="s">
        <f>=Портфель!F28*Портфель!G28/100*Портфель!$Q$13+Портфель!H28*Портфель!$Q$13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45387</v>
      </c>
      <c r="B123" s="16" t="s">
        <v>1375</v>
      </c>
      <c r="C123" s="16" t="s">
        <v>84</v>
      </c>
      <c r="D123" s="16" t="s">
        <v>86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691</v>
      </c>
      <c r="J123" s="17" t="n">
        <v>605.81666666667</v>
      </c>
      <c r="K123" s="6" t="s">
        <f>=Портфель!F28*Портфель!G28/100*Портфель!$Q$13+Портфель!H28*Портфель!$Q$13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45447</v>
      </c>
      <c r="B124" s="16" t="s">
        <v>1375</v>
      </c>
      <c r="C124" s="16" t="s">
        <v>84</v>
      </c>
      <c r="D124" s="16" t="s">
        <v>86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631</v>
      </c>
      <c r="J124" s="17" t="n">
        <v>571.14</v>
      </c>
      <c r="K124" s="6" t="s">
        <f>=Портфель!F28*Портфель!G28/100*Портфель!$Q$13+Портфель!H28*Портфель!$Q$13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45714</v>
      </c>
      <c r="B125" s="16" t="s">
        <v>1375</v>
      </c>
      <c r="C125" s="16" t="s">
        <v>84</v>
      </c>
      <c r="D125" s="16" t="s">
        <v>86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364</v>
      </c>
      <c r="J125" s="17" t="n">
        <v>544.85</v>
      </c>
      <c r="K125" s="6" t="s">
        <f>=Портфель!F28*Портфель!G28/100*Портфель!$Q$13+Портфель!H28*Портфель!$Q$13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45869</v>
      </c>
      <c r="B126" s="16" t="s">
        <v>1375</v>
      </c>
      <c r="C126" s="16" t="s">
        <v>84</v>
      </c>
      <c r="D126" s="16" t="s">
        <v>86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209</v>
      </c>
      <c r="J126" s="17" t="n">
        <v>599.57</v>
      </c>
      <c r="K126" s="6" t="s">
        <f>=Портфель!F28*Портфель!G28/100*Портфель!$Q$13+Портфель!H28*Портфель!$Q$13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45876</v>
      </c>
      <c r="B127" s="16" t="s">
        <v>1375</v>
      </c>
      <c r="C127" s="16" t="s">
        <v>84</v>
      </c>
      <c r="D127" s="16" t="s">
        <v>86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202</v>
      </c>
      <c r="J127" s="17" t="n">
        <v>603.79</v>
      </c>
      <c r="K127" s="6" t="s">
        <f>=Портфель!F28*Портфель!G28/100*Портфель!$Q$13+Портфель!H28*Портфель!$Q$13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45931</v>
      </c>
      <c r="B128" s="16" t="s">
        <v>1375</v>
      </c>
      <c r="C128" s="16" t="s">
        <v>84</v>
      </c>
      <c r="D128" s="16" t="s">
        <v>86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147</v>
      </c>
      <c r="J128" s="17" t="n">
        <v>580.01</v>
      </c>
      <c r="K128" s="6" t="s">
        <f>=Портфель!F28*Портфель!G28/100*Портфель!$Q$13+Портфель!H28*Портфель!$Q$13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44739</v>
      </c>
      <c r="B129" s="16" t="s">
        <v>1375</v>
      </c>
      <c r="C129" s="16" t="s">
        <v>88</v>
      </c>
      <c r="D129" s="16" t="s">
        <v>89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1339</v>
      </c>
      <c r="J129" s="17" t="n">
        <v>1107.71</v>
      </c>
      <c r="K129" s="6" t="s">
        <f>=Портфель!F29*Портфель!G29/100*Портфель!$Q$13+Портфель!H29*Портфель!$Q$13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44746</v>
      </c>
      <c r="B130" s="16" t="s">
        <v>1375</v>
      </c>
      <c r="C130" s="16" t="s">
        <v>88</v>
      </c>
      <c r="D130" s="16" t="s">
        <v>89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1332</v>
      </c>
      <c r="J130" s="17" t="n">
        <v>1111.02</v>
      </c>
      <c r="K130" s="6" t="s">
        <f>=Портфель!F29*Портфель!G29/100*Портфель!$Q$13+Портфель!H29*Портфель!$Q$13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44929</v>
      </c>
      <c r="B131" s="16" t="s">
        <v>1375</v>
      </c>
      <c r="C131" s="16" t="s">
        <v>88</v>
      </c>
      <c r="D131" s="16" t="s">
        <v>89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1149</v>
      </c>
      <c r="J131" s="17" t="n">
        <v>1051.78</v>
      </c>
      <c r="K131" s="6" t="s">
        <f>=Портфель!F29*Портфель!G29/100*Портфель!$Q$13+Портфель!H29*Портфель!$Q$13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45303</v>
      </c>
      <c r="B132" s="16" t="s">
        <v>1375</v>
      </c>
      <c r="C132" s="16" t="s">
        <v>88</v>
      </c>
      <c r="D132" s="16" t="s">
        <v>89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775</v>
      </c>
      <c r="J132" s="17" t="n">
        <v>1057.525</v>
      </c>
      <c r="K132" s="6" t="s">
        <f>=Портфель!F29*Портфель!G29/100*Портфель!$Q$13+Портфель!H29*Портфель!$Q$13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45351</v>
      </c>
      <c r="B133" s="16" t="s">
        <v>1375</v>
      </c>
      <c r="C133" s="16" t="s">
        <v>88</v>
      </c>
      <c r="D133" s="16" t="s">
        <v>89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727</v>
      </c>
      <c r="J133" s="17" t="n">
        <v>1075.01</v>
      </c>
      <c r="K133" s="6" t="s">
        <f>=Портфель!F29*Портфель!G29/100*Портфель!$Q$13+Портфель!H29*Портфель!$Q$13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45356</v>
      </c>
      <c r="B134" s="16" t="s">
        <v>1375</v>
      </c>
      <c r="C134" s="16" t="s">
        <v>88</v>
      </c>
      <c r="D134" s="16" t="s">
        <v>89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722</v>
      </c>
      <c r="J134" s="17" t="n">
        <v>1076.54</v>
      </c>
      <c r="K134" s="6" t="s">
        <f>=Портфель!F29*Портфель!G29/100*Портфель!$Q$13+Портфель!H29*Портфель!$Q$13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45506</v>
      </c>
      <c r="B135" s="16" t="s">
        <v>1375</v>
      </c>
      <c r="C135" s="16" t="s">
        <v>88</v>
      </c>
      <c r="D135" s="16" t="s">
        <v>89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572</v>
      </c>
      <c r="J135" s="17" t="n">
        <v>1079.95</v>
      </c>
      <c r="K135" s="6" t="s">
        <f>=Портфель!F29*Портфель!G29/100*Портфель!$Q$13+Портфель!H29*Портфель!$Q$13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45566</v>
      </c>
      <c r="B136" s="16" t="s">
        <v>1375</v>
      </c>
      <c r="C136" s="16" t="s">
        <v>88</v>
      </c>
      <c r="D136" s="16" t="s">
        <v>89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512</v>
      </c>
      <c r="J136" s="17" t="n">
        <v>1097.76</v>
      </c>
      <c r="K136" s="6" t="s">
        <f>=Портфель!F29*Портфель!G29/100*Портфель!$Q$13+Портфель!H29*Портфель!$Q$13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45566</v>
      </c>
      <c r="B137" s="16" t="s">
        <v>1375</v>
      </c>
      <c r="C137" s="16" t="s">
        <v>88</v>
      </c>
      <c r="D137" s="16" t="s">
        <v>89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512</v>
      </c>
      <c r="J137" s="17" t="n">
        <v>1100.37</v>
      </c>
      <c r="K137" s="6" t="s">
        <f>=Портфель!F29*Портфель!G29/100*Портфель!$Q$13+Портфель!H29*Портфель!$Q$13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45702</v>
      </c>
      <c r="B138" s="16" t="s">
        <v>1375</v>
      </c>
      <c r="C138" s="16" t="s">
        <v>88</v>
      </c>
      <c r="D138" s="16" t="s">
        <v>89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376</v>
      </c>
      <c r="J138" s="17" t="n">
        <v>1076.41</v>
      </c>
      <c r="K138" s="6" t="s">
        <f>=Портфель!F29*Портфель!G29/100*Портфель!$Q$13+Портфель!H29*Портфель!$Q$13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45702</v>
      </c>
      <c r="B139" s="16" t="s">
        <v>1375</v>
      </c>
      <c r="C139" s="16" t="s">
        <v>88</v>
      </c>
      <c r="D139" s="16" t="s">
        <v>89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376</v>
      </c>
      <c r="J139" s="17" t="n">
        <v>1076.41</v>
      </c>
      <c r="K139" s="6" t="s">
        <f>=Портфель!F29*Портфель!G29/100*Портфель!$Q$13+Портфель!H29*Портфель!$Q$13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45714</v>
      </c>
      <c r="B140" s="16" t="s">
        <v>1375</v>
      </c>
      <c r="C140" s="16" t="s">
        <v>88</v>
      </c>
      <c r="D140" s="16" t="s">
        <v>89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364</v>
      </c>
      <c r="J140" s="17" t="n">
        <v>1084.33</v>
      </c>
      <c r="K140" s="6" t="s">
        <f>=Портфель!F29*Портфель!G29/100*Портфель!$Q$13+Портфель!H29*Портфель!$Q$13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 t="n">
        <v>45714</v>
      </c>
      <c r="B141" s="16" t="s">
        <v>1375</v>
      </c>
      <c r="C141" s="16" t="s">
        <v>88</v>
      </c>
      <c r="D141" s="16" t="s">
        <v>89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364</v>
      </c>
      <c r="J141" s="17" t="n">
        <v>1084.33</v>
      </c>
      <c r="K141" s="6" t="s">
        <f>=Портфель!F29*Портфель!G29/100*Портфель!$Q$13+Портфель!H29*Портфель!$Q$13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6" t="n">
        <v>45147</v>
      </c>
      <c r="B142" s="16" t="s">
        <v>1375</v>
      </c>
      <c r="C142" s="16" t="s">
        <v>91</v>
      </c>
      <c r="D142" s="16" t="s">
        <v>92</v>
      </c>
      <c r="E142" s="17" t="n">
        <v>3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931</v>
      </c>
      <c r="J142" s="17" t="n">
        <v>939.21</v>
      </c>
      <c r="K142" s="6" t="s">
        <f>=Портфель!F30*Портфель!G30/100*Портфель!$Q$13+Портфель!H30*Портфель!$Q$13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6" t="n">
        <v>45303</v>
      </c>
      <c r="B143" s="16" t="s">
        <v>1375</v>
      </c>
      <c r="C143" s="16" t="s">
        <v>91</v>
      </c>
      <c r="D143" s="16" t="s">
        <v>92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775</v>
      </c>
      <c r="J143" s="17" t="n">
        <v>871.295</v>
      </c>
      <c r="K143" s="6" t="s">
        <f>=Портфель!F30*Портфель!G30/100*Портфель!$Q$13+Портфель!H30*Портфель!$Q$13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6" t="n">
        <v>45351</v>
      </c>
      <c r="B144" s="16" t="s">
        <v>1375</v>
      </c>
      <c r="C144" s="16" t="s">
        <v>91</v>
      </c>
      <c r="D144" s="16" t="s">
        <v>92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727</v>
      </c>
      <c r="J144" s="17" t="n">
        <v>855.56</v>
      </c>
      <c r="K144" s="6" t="s">
        <f>=Портфель!F30*Портфель!G30/100*Портфель!$Q$13+Портфель!H30*Портфель!$Q$13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6" t="n">
        <v>45356</v>
      </c>
      <c r="B145" s="16" t="s">
        <v>1375</v>
      </c>
      <c r="C145" s="16" t="s">
        <v>91</v>
      </c>
      <c r="D145" s="16" t="s">
        <v>92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722</v>
      </c>
      <c r="J145" s="17" t="n">
        <v>849.91</v>
      </c>
      <c r="K145" s="6" t="s">
        <f>=Портфель!F30*Портфель!G30/100*Портфель!$Q$13+Портфель!H30*Портфель!$Q$13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6" t="n">
        <v>45387</v>
      </c>
      <c r="B146" s="16" t="s">
        <v>1375</v>
      </c>
      <c r="C146" s="16" t="s">
        <v>91</v>
      </c>
      <c r="D146" s="16" t="s">
        <v>92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691</v>
      </c>
      <c r="J146" s="17" t="n">
        <v>809.72</v>
      </c>
      <c r="K146" s="6" t="s">
        <f>=Портфель!F30*Портфель!G30/100*Портфель!$Q$13+Портфель!H30*Портфель!$Q$13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6" t="n">
        <v>45447</v>
      </c>
      <c r="B147" s="16" t="s">
        <v>1375</v>
      </c>
      <c r="C147" s="16" t="s">
        <v>91</v>
      </c>
      <c r="D147" s="16" t="s">
        <v>92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631</v>
      </c>
      <c r="J147" s="17" t="n">
        <v>725.16</v>
      </c>
      <c r="K147" s="6" t="s">
        <f>=Портфель!F30*Портфель!G30/100*Портфель!$Q$13+Портфель!H30*Портфель!$Q$13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6" t="n">
        <v>45506</v>
      </c>
      <c r="B148" s="16" t="s">
        <v>1375</v>
      </c>
      <c r="C148" s="16" t="s">
        <v>91</v>
      </c>
      <c r="D148" s="16" t="s">
        <v>92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572</v>
      </c>
      <c r="J148" s="17" t="n">
        <v>709.44</v>
      </c>
      <c r="K148" s="6" t="s">
        <f>=Портфель!F30*Портфель!G30/100*Портфель!$Q$13+Портфель!H30*Портфель!$Q$13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6" t="n">
        <v>45714</v>
      </c>
      <c r="B149" s="16" t="s">
        <v>1375</v>
      </c>
      <c r="C149" s="16" t="s">
        <v>91</v>
      </c>
      <c r="D149" s="16" t="s">
        <v>92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364</v>
      </c>
      <c r="J149" s="17" t="n">
        <v>720.16</v>
      </c>
      <c r="K149" s="6" t="s">
        <f>=Портфель!F30*Портфель!G30/100*Портфель!$Q$13+Портфель!H30*Портфель!$Q$13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6" t="n">
        <v>45776</v>
      </c>
      <c r="B150" s="16" t="s">
        <v>1375</v>
      </c>
      <c r="C150" s="16" t="s">
        <v>91</v>
      </c>
      <c r="D150" s="16" t="s">
        <v>92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302</v>
      </c>
      <c r="J150" s="17" t="n">
        <v>732.56</v>
      </c>
      <c r="K150" s="6" t="s">
        <f>=Портфель!F30*Портфель!G30/100*Портфель!$Q$13+Портфель!H30*Портфель!$Q$13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6" t="n">
        <v>45869</v>
      </c>
      <c r="B151" s="16" t="s">
        <v>1375</v>
      </c>
      <c r="C151" s="16" t="s">
        <v>91</v>
      </c>
      <c r="D151" s="16" t="s">
        <v>92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209</v>
      </c>
      <c r="J151" s="17" t="n">
        <v>776.83</v>
      </c>
      <c r="K151" s="6" t="s">
        <f>=Портфель!F30*Портфель!G30/100*Портфель!$Q$13+Портфель!H30*Портфель!$Q$13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6" t="n">
        <v>45876</v>
      </c>
      <c r="B152" s="16" t="s">
        <v>1375</v>
      </c>
      <c r="C152" s="16" t="s">
        <v>91</v>
      </c>
      <c r="D152" s="16" t="s">
        <v>92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202</v>
      </c>
      <c r="J152" s="17" t="n">
        <v>782.23</v>
      </c>
      <c r="K152" s="6" t="s">
        <f>=Портфель!F30*Портфель!G30/100*Портфель!$Q$13+Портфель!H30*Портфель!$Q$13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6" t="n">
        <v>45876</v>
      </c>
      <c r="B153" s="16" t="s">
        <v>1375</v>
      </c>
      <c r="C153" s="16" t="s">
        <v>91</v>
      </c>
      <c r="D153" s="16" t="s">
        <v>92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202</v>
      </c>
      <c r="J153" s="17" t="n">
        <v>781.67</v>
      </c>
      <c r="K153" s="6" t="s">
        <f>=Портфель!F30*Портфель!G30/100*Портфель!$Q$13+Портфель!H30*Портфель!$Q$13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6" t="n">
        <v>45901</v>
      </c>
      <c r="B154" s="16" t="s">
        <v>1375</v>
      </c>
      <c r="C154" s="16" t="s">
        <v>91</v>
      </c>
      <c r="D154" s="16" t="s">
        <v>92</v>
      </c>
      <c r="E154" s="17" t="n">
        <v>1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177</v>
      </c>
      <c r="J154" s="17" t="n">
        <v>798.28</v>
      </c>
      <c r="K154" s="6" t="s">
        <f>=Портфель!F30*Портфель!G30/100*Портфель!$Q$13+Портфель!H30*Портфель!$Q$13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36" t="n">
        <v>45931</v>
      </c>
      <c r="B155" s="16" t="s">
        <v>1375</v>
      </c>
      <c r="C155" s="16" t="s">
        <v>91</v>
      </c>
      <c r="D155" s="16" t="s">
        <v>92</v>
      </c>
      <c r="E155" s="17" t="n">
        <v>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147</v>
      </c>
      <c r="J155" s="17" t="n">
        <v>766.41</v>
      </c>
      <c r="K155" s="6" t="s">
        <f>=Портфель!F30*Портфель!G30/100*Портфель!$Q$13+Портфель!H30*Портфель!$Q$13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36" t="n">
        <v>46027</v>
      </c>
      <c r="B156" s="16" t="s">
        <v>1375</v>
      </c>
      <c r="C156" s="16" t="s">
        <v>91</v>
      </c>
      <c r="D156" s="16" t="s">
        <v>92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51</v>
      </c>
      <c r="J156" s="17" t="n">
        <v>760.6</v>
      </c>
      <c r="K156" s="6" t="s">
        <f>=Портфель!F30*Портфель!G30/100*Портфель!$Q$13+Портфель!H30*Портфель!$Q$13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36" t="n">
        <v>46027</v>
      </c>
      <c r="B157" s="16" t="s">
        <v>1375</v>
      </c>
      <c r="C157" s="16" t="s">
        <v>91</v>
      </c>
      <c r="D157" s="16" t="s">
        <v>92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51</v>
      </c>
      <c r="J157" s="17" t="n">
        <v>760.58</v>
      </c>
      <c r="K157" s="6" t="s">
        <f>=Портфель!F30*Портфель!G30/100*Портфель!$Q$13+Портфель!H30*Портфель!$Q$13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36" t="n">
        <v>44903</v>
      </c>
      <c r="B158" s="16" t="s">
        <v>1375</v>
      </c>
      <c r="C158" s="16" t="s">
        <v>94</v>
      </c>
      <c r="D158" s="16" t="s">
        <v>95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1175</v>
      </c>
      <c r="J158" s="17" t="n">
        <v>766.25</v>
      </c>
      <c r="K158" s="6" t="s">
        <f>=Портфель!F31*Портфель!G31/100*Портфель!$Q$13+Портфель!H31*Портфель!$Q$13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36" t="n">
        <v>44950</v>
      </c>
      <c r="B159" s="16" t="s">
        <v>1375</v>
      </c>
      <c r="C159" s="16" t="s">
        <v>94</v>
      </c>
      <c r="D159" s="16" t="s">
        <v>95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1128</v>
      </c>
      <c r="J159" s="17" t="n">
        <v>761.14</v>
      </c>
      <c r="K159" s="6" t="s">
        <f>=Портфель!F31*Портфель!G31/100*Портфель!$Q$13+Портфель!H31*Портфель!$Q$13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36" t="n">
        <v>45006</v>
      </c>
      <c r="B160" s="16" t="s">
        <v>1375</v>
      </c>
      <c r="C160" s="16" t="s">
        <v>94</v>
      </c>
      <c r="D160" s="16" t="s">
        <v>95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1072</v>
      </c>
      <c r="J160" s="17" t="n">
        <v>756.65</v>
      </c>
      <c r="K160" s="6" t="s">
        <f>=Портфель!F31*Портфель!G31/100*Портфель!$Q$13+Портфель!H31*Портфель!$Q$13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36" t="n">
        <v>45075</v>
      </c>
      <c r="B161" s="16" t="s">
        <v>1375</v>
      </c>
      <c r="C161" s="16" t="s">
        <v>94</v>
      </c>
      <c r="D161" s="16" t="s">
        <v>95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1003</v>
      </c>
      <c r="J161" s="17" t="n">
        <v>763.02</v>
      </c>
      <c r="K161" s="6" t="s">
        <f>=Портфель!F31*Портфель!G31/100*Портфель!$Q$13+Портфель!H31*Портфель!$Q$13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36" t="n">
        <v>45091</v>
      </c>
      <c r="B162" s="16" t="s">
        <v>1375</v>
      </c>
      <c r="C162" s="16" t="s">
        <v>94</v>
      </c>
      <c r="D162" s="16" t="s">
        <v>95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987</v>
      </c>
      <c r="J162" s="17" t="n">
        <v>726.23</v>
      </c>
      <c r="K162" s="6" t="s">
        <f>=Портфель!F31*Портфель!G31/100*Портфель!$Q$13+Портфель!H31*Портфель!$Q$13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36" t="n">
        <v>45104</v>
      </c>
      <c r="B163" s="16" t="s">
        <v>1375</v>
      </c>
      <c r="C163" s="16" t="s">
        <v>94</v>
      </c>
      <c r="D163" s="16" t="s">
        <v>95</v>
      </c>
      <c r="E163" s="17" t="n">
        <v>2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974</v>
      </c>
      <c r="J163" s="17" t="n">
        <v>719.2</v>
      </c>
      <c r="K163" s="6" t="s">
        <f>=Портфель!F31*Портфель!G31/100*Портфель!$Q$13+Портфель!H31*Портфель!$Q$13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36" t="n">
        <v>45184</v>
      </c>
      <c r="B164" s="16" t="s">
        <v>1375</v>
      </c>
      <c r="C164" s="16" t="s">
        <v>94</v>
      </c>
      <c r="D164" s="16" t="s">
        <v>95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894</v>
      </c>
      <c r="J164" s="17" t="n">
        <v>702.08</v>
      </c>
      <c r="K164" s="6" t="s">
        <f>=Портфель!F31*Портфель!G31/100*Портфель!$Q$13+Портфель!H31*Портфель!$Q$13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36" t="n">
        <v>45184</v>
      </c>
      <c r="B165" s="16" t="s">
        <v>1375</v>
      </c>
      <c r="C165" s="16" t="s">
        <v>94</v>
      </c>
      <c r="D165" s="16" t="s">
        <v>95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894</v>
      </c>
      <c r="J165" s="17" t="n">
        <v>702.08</v>
      </c>
      <c r="K165" s="6" t="s">
        <f>=Портфель!F31*Портфель!G31/100*Портфель!$Q$13+Портфель!H31*Портфель!$Q$13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36" t="n">
        <v>45184</v>
      </c>
      <c r="B166" s="16" t="s">
        <v>1375</v>
      </c>
      <c r="C166" s="16" t="s">
        <v>94</v>
      </c>
      <c r="D166" s="16" t="s">
        <v>95</v>
      </c>
      <c r="E166" s="17" t="n">
        <v>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894</v>
      </c>
      <c r="J166" s="17" t="n">
        <v>702.08</v>
      </c>
      <c r="K166" s="6" t="s">
        <f>=Портфель!F31*Портфель!G31/100*Портфель!$Q$13+Портфель!H31*Портфель!$Q$13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36" t="n">
        <v>45240</v>
      </c>
      <c r="B167" s="16" t="s">
        <v>1375</v>
      </c>
      <c r="C167" s="16" t="s">
        <v>94</v>
      </c>
      <c r="D167" s="16" t="s">
        <v>95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838</v>
      </c>
      <c r="J167" s="17" t="n">
        <v>711.84</v>
      </c>
      <c r="K167" s="6" t="s">
        <f>=Портфель!F31*Портфель!G31/100*Портфель!$Q$13+Портфель!H31*Портфель!$Q$13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36" t="n">
        <v>45267</v>
      </c>
      <c r="B168" s="16" t="s">
        <v>1375</v>
      </c>
      <c r="C168" s="16" t="s">
        <v>94</v>
      </c>
      <c r="D168" s="16" t="s">
        <v>95</v>
      </c>
      <c r="E168" s="17" t="n">
        <v>2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811</v>
      </c>
      <c r="J168" s="17" t="n">
        <v>659.05</v>
      </c>
      <c r="K168" s="6" t="s">
        <f>=Портфель!F31*Портфель!G31/100*Портфель!$Q$13+Портфель!H31*Портфель!$Q$13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36" t="n">
        <v>45303</v>
      </c>
      <c r="B169" s="16" t="s">
        <v>1375</v>
      </c>
      <c r="C169" s="16" t="s">
        <v>94</v>
      </c>
      <c r="D169" s="16" t="s">
        <v>95</v>
      </c>
      <c r="E169" s="17" t="n">
        <v>2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775</v>
      </c>
      <c r="J169" s="17" t="n">
        <v>659.73</v>
      </c>
      <c r="K169" s="6" t="s">
        <f>=Портфель!F31*Портфель!G31/100*Портфель!$Q$13+Портфель!H31*Портфель!$Q$13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36" t="n">
        <v>45351</v>
      </c>
      <c r="B170" s="16" t="s">
        <v>1375</v>
      </c>
      <c r="C170" s="16" t="s">
        <v>94</v>
      </c>
      <c r="D170" s="16" t="s">
        <v>95</v>
      </c>
      <c r="E170" s="17" t="n">
        <v>1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727</v>
      </c>
      <c r="J170" s="17" t="n">
        <v>661.05</v>
      </c>
      <c r="K170" s="6" t="s">
        <f>=Портфель!F31*Портфель!G31/100*Портфель!$Q$13+Портфель!H31*Портфель!$Q$13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36" t="n">
        <v>45356</v>
      </c>
      <c r="B171" s="16" t="s">
        <v>1375</v>
      </c>
      <c r="C171" s="16" t="s">
        <v>94</v>
      </c>
      <c r="D171" s="16" t="s">
        <v>95</v>
      </c>
      <c r="E171" s="17" t="n">
        <v>1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722</v>
      </c>
      <c r="J171" s="17" t="n">
        <v>655.1</v>
      </c>
      <c r="K171" s="6" t="s">
        <f>=Портфель!F31*Портфель!G31/100*Портфель!$Q$13+Портфель!H31*Портфель!$Q$13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36" t="n">
        <v>45387</v>
      </c>
      <c r="B172" s="16" t="s">
        <v>1375</v>
      </c>
      <c r="C172" s="16" t="s">
        <v>94</v>
      </c>
      <c r="D172" s="16" t="s">
        <v>95</v>
      </c>
      <c r="E172" s="17" t="n">
        <v>1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691</v>
      </c>
      <c r="J172" s="17" t="n">
        <v>618.7</v>
      </c>
      <c r="K172" s="6" t="s">
        <f>=Портфель!F31*Портфель!G31/100*Портфель!$Q$13+Портфель!H31*Портфель!$Q$13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36" t="n">
        <v>45471</v>
      </c>
      <c r="B173" s="16" t="s">
        <v>1375</v>
      </c>
      <c r="C173" s="16" t="s">
        <v>94</v>
      </c>
      <c r="D173" s="16" t="s">
        <v>95</v>
      </c>
      <c r="E173" s="17" t="n">
        <v>4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607</v>
      </c>
      <c r="J173" s="17" t="n">
        <v>546.47</v>
      </c>
      <c r="K173" s="6" t="s">
        <f>=Портфель!F31*Портфель!G31/100*Портфель!$Q$13+Портфель!H31*Портфель!$Q$13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36" t="n">
        <v>45714</v>
      </c>
      <c r="B174" s="16" t="s">
        <v>1375</v>
      </c>
      <c r="C174" s="16" t="s">
        <v>94</v>
      </c>
      <c r="D174" s="16" t="s">
        <v>95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364</v>
      </c>
      <c r="J174" s="17" t="n">
        <v>556.13</v>
      </c>
      <c r="K174" s="6" t="s">
        <f>=Портфель!F31*Портфель!G31/100*Портфель!$Q$13+Портфель!H31*Портфель!$Q$13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36" t="n">
        <v>45702</v>
      </c>
      <c r="B175" s="16" t="s">
        <v>1375</v>
      </c>
      <c r="C175" s="16" t="s">
        <v>97</v>
      </c>
      <c r="D175" s="16" t="s">
        <v>98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376</v>
      </c>
      <c r="J175" s="17" t="n">
        <v>886.71</v>
      </c>
      <c r="K175" s="6" t="s">
        <f>=Портфель!F32*Портфель!G32/100*Портфель!$Q$13+Портфель!H32*Портфель!$Q$13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36" t="n">
        <v>45702</v>
      </c>
      <c r="B176" s="16" t="s">
        <v>1375</v>
      </c>
      <c r="C176" s="16" t="s">
        <v>97</v>
      </c>
      <c r="D176" s="16" t="s">
        <v>98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376</v>
      </c>
      <c r="J176" s="17" t="n">
        <v>886.67</v>
      </c>
      <c r="K176" s="6" t="s">
        <f>=Портфель!F32*Портфель!G32/100*Портфель!$Q$13+Портфель!H32*Портфель!$Q$13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36" t="n">
        <v>45714</v>
      </c>
      <c r="B177" s="16" t="s">
        <v>1375</v>
      </c>
      <c r="C177" s="16" t="s">
        <v>97</v>
      </c>
      <c r="D177" s="16" t="s">
        <v>98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364</v>
      </c>
      <c r="J177" s="17" t="n">
        <v>858.07</v>
      </c>
      <c r="K177" s="6" t="s">
        <f>=Портфель!F32*Портфель!G32/100*Портфель!$Q$13+Портфель!H32*Портфель!$Q$13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36" t="n">
        <v>45714</v>
      </c>
      <c r="B178" s="16" t="s">
        <v>1375</v>
      </c>
      <c r="C178" s="16" t="s">
        <v>97</v>
      </c>
      <c r="D178" s="16" t="s">
        <v>98</v>
      </c>
      <c r="E178" s="17" t="n">
        <v>1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364</v>
      </c>
      <c r="J178" s="17" t="n">
        <v>858.07</v>
      </c>
      <c r="K178" s="6" t="s">
        <f>=Портфель!F32*Портфель!G32/100*Портфель!$Q$13+Портфель!H32*Портфель!$Q$13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36" t="n">
        <v>45714</v>
      </c>
      <c r="B179" s="16" t="s">
        <v>1375</v>
      </c>
      <c r="C179" s="16" t="s">
        <v>97</v>
      </c>
      <c r="D179" s="16" t="s">
        <v>98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364</v>
      </c>
      <c r="J179" s="17" t="n">
        <v>858.07</v>
      </c>
      <c r="K179" s="6" t="s">
        <f>=Портфель!F32*Портфель!G32/100*Портфель!$Q$13+Портфель!H32*Портфель!$Q$13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36" t="n">
        <v>45776</v>
      </c>
      <c r="B180" s="16" t="s">
        <v>1375</v>
      </c>
      <c r="C180" s="16" t="s">
        <v>97</v>
      </c>
      <c r="D180" s="16" t="s">
        <v>98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302</v>
      </c>
      <c r="J180" s="17" t="n">
        <v>837.69</v>
      </c>
      <c r="K180" s="6" t="s">
        <f>=Портфель!F32*Портфель!G32/100*Портфель!$Q$13+Портфель!H32*Портфель!$Q$13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36" t="n">
        <v>45869</v>
      </c>
      <c r="B181" s="16" t="s">
        <v>1375</v>
      </c>
      <c r="C181" s="16" t="s">
        <v>97</v>
      </c>
      <c r="D181" s="16" t="s">
        <v>98</v>
      </c>
      <c r="E181" s="17" t="n">
        <v>1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209</v>
      </c>
      <c r="J181" s="17" t="n">
        <v>940.63</v>
      </c>
      <c r="K181" s="6" t="s">
        <f>=Портфель!F32*Портфель!G32/100*Портфель!$Q$13+Портфель!H32*Портфель!$Q$13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36" t="n">
        <v>45876</v>
      </c>
      <c r="B182" s="16" t="s">
        <v>1375</v>
      </c>
      <c r="C182" s="16" t="s">
        <v>97</v>
      </c>
      <c r="D182" s="16" t="s">
        <v>98</v>
      </c>
      <c r="E182" s="17" t="n">
        <v>1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202</v>
      </c>
      <c r="J182" s="17" t="n">
        <v>949.24</v>
      </c>
      <c r="K182" s="6" t="s">
        <f>=Портфель!F32*Портфель!G32/100*Портфель!$Q$13+Портфель!H32*Портфель!$Q$13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36" t="n">
        <v>45901</v>
      </c>
      <c r="B183" s="16" t="s">
        <v>1375</v>
      </c>
      <c r="C183" s="16" t="s">
        <v>97</v>
      </c>
      <c r="D183" s="16" t="s">
        <v>98</v>
      </c>
      <c r="E183" s="17" t="n">
        <v>1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177</v>
      </c>
      <c r="J183" s="17" t="n">
        <v>961.97</v>
      </c>
      <c r="K183" s="6" t="s">
        <f>=Портфель!F32*Портфель!G32/100*Портфель!$Q$13+Портфель!H32*Портфель!$Q$13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36" t="n">
        <v>45931</v>
      </c>
      <c r="B184" s="16" t="s">
        <v>1375</v>
      </c>
      <c r="C184" s="16" t="s">
        <v>97</v>
      </c>
      <c r="D184" s="16" t="s">
        <v>98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147</v>
      </c>
      <c r="J184" s="17" t="n">
        <v>872.7</v>
      </c>
      <c r="K184" s="6" t="s">
        <f>=Портфель!F32*Портфель!G32/100*Портфель!$Q$13+Портфель!H32*Портфель!$Q$13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36" t="n">
        <v>45959</v>
      </c>
      <c r="B185" s="16" t="s">
        <v>1375</v>
      </c>
      <c r="C185" s="16" t="s">
        <v>97</v>
      </c>
      <c r="D185" s="16" t="s">
        <v>98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119</v>
      </c>
      <c r="J185" s="17" t="n">
        <v>876.81</v>
      </c>
      <c r="K185" s="6" t="s">
        <f>=Портфель!F32*Портфель!G32/100*Портфель!$Q$13+Портфель!H32*Портфель!$Q$13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36" t="n">
        <v>45959</v>
      </c>
      <c r="B186" s="16" t="s">
        <v>1375</v>
      </c>
      <c r="C186" s="16" t="s">
        <v>97</v>
      </c>
      <c r="D186" s="16" t="s">
        <v>98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119</v>
      </c>
      <c r="J186" s="17" t="n">
        <v>876.77</v>
      </c>
      <c r="K186" s="6" t="s">
        <f>=Портфель!F32*Портфель!G32/100*Портфель!$Q$13+Портфель!H32*Портфель!$Q$13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36" t="n">
        <v>46027</v>
      </c>
      <c r="B187" s="16" t="s">
        <v>1375</v>
      </c>
      <c r="C187" s="16" t="s">
        <v>97</v>
      </c>
      <c r="D187" s="16" t="s">
        <v>98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51</v>
      </c>
      <c r="J187" s="17" t="n">
        <v>922.87</v>
      </c>
      <c r="K187" s="6" t="s">
        <f>=Портфель!F32*Портфель!G32/100*Портфель!$Q$13+Портфель!H32*Портфель!$Q$13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36" t="n">
        <v>46027</v>
      </c>
      <c r="B188" s="16" t="s">
        <v>1375</v>
      </c>
      <c r="C188" s="16" t="s">
        <v>97</v>
      </c>
      <c r="D188" s="16" t="s">
        <v>98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51</v>
      </c>
      <c r="J188" s="17" t="n">
        <v>922.86</v>
      </c>
      <c r="K188" s="6" t="s">
        <f>=Портфель!F32*Портфель!G32/100*Портфель!$Q$13+Портфель!H32*Портфель!$Q$13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36" t="n">
        <v>45566</v>
      </c>
      <c r="B189" s="16" t="s">
        <v>1375</v>
      </c>
      <c r="C189" s="16" t="s">
        <v>100</v>
      </c>
      <c r="D189" s="16" t="s">
        <v>101</v>
      </c>
      <c r="E189" s="17" t="n">
        <v>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512</v>
      </c>
      <c r="J189" s="17" t="n">
        <v>834.85</v>
      </c>
      <c r="K189" s="6" t="s">
        <f>=Портфель!F33*Портфель!G33/100*Портфель!$Q$13+Портфель!H33*Портфель!$Q$13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36" t="n">
        <v>45702</v>
      </c>
      <c r="B190" s="16" t="s">
        <v>1375</v>
      </c>
      <c r="C190" s="16" t="s">
        <v>100</v>
      </c>
      <c r="D190" s="16" t="s">
        <v>101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376</v>
      </c>
      <c r="J190" s="17" t="n">
        <v>856.46</v>
      </c>
      <c r="K190" s="6" t="s">
        <f>=Портфель!F33*Портфель!G33/100*Портфель!$Q$13+Портфель!H33*Портфель!$Q$13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36" t="n">
        <v>45702</v>
      </c>
      <c r="B191" s="16" t="s">
        <v>1375</v>
      </c>
      <c r="C191" s="16" t="s">
        <v>100</v>
      </c>
      <c r="D191" s="16" t="s">
        <v>101</v>
      </c>
      <c r="E191" s="17" t="n">
        <v>1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376</v>
      </c>
      <c r="J191" s="17" t="n">
        <v>857.05</v>
      </c>
      <c r="K191" s="6" t="s">
        <f>=Портфель!F33*Портфель!G33/100*Портфель!$Q$13+Портфель!H33*Портфель!$Q$13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36" t="n">
        <v>45702</v>
      </c>
      <c r="B192" s="16" t="s">
        <v>1375</v>
      </c>
      <c r="C192" s="16" t="s">
        <v>100</v>
      </c>
      <c r="D192" s="16" t="s">
        <v>101</v>
      </c>
      <c r="E192" s="17" t="n">
        <v>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376</v>
      </c>
      <c r="J192" s="17" t="n">
        <v>857.06</v>
      </c>
      <c r="K192" s="6" t="s">
        <f>=Портфель!F33*Портфель!G33/100*Портфель!$Q$13+Портфель!H33*Портфель!$Q$13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36" t="n">
        <v>45714</v>
      </c>
      <c r="B193" s="16" t="s">
        <v>1375</v>
      </c>
      <c r="C193" s="16" t="s">
        <v>100</v>
      </c>
      <c r="D193" s="16" t="s">
        <v>101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364</v>
      </c>
      <c r="J193" s="17" t="n">
        <v>822.39</v>
      </c>
      <c r="K193" s="6" t="s">
        <f>=Портфель!F33*Портфель!G33/100*Портфель!$Q$13+Портфель!H33*Портфель!$Q$13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36" t="n">
        <v>45714</v>
      </c>
      <c r="B194" s="16" t="s">
        <v>1375</v>
      </c>
      <c r="C194" s="16" t="s">
        <v>100</v>
      </c>
      <c r="D194" s="16" t="s">
        <v>101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364</v>
      </c>
      <c r="J194" s="17" t="n">
        <v>822.39</v>
      </c>
      <c r="K194" s="6" t="s">
        <f>=Портфель!F33*Портфель!G33/100*Портфель!$Q$13+Портфель!H33*Портфель!$Q$13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36" t="n">
        <v>45714</v>
      </c>
      <c r="B195" s="16" t="s">
        <v>1375</v>
      </c>
      <c r="C195" s="16" t="s">
        <v>100</v>
      </c>
      <c r="D195" s="16" t="s">
        <v>101</v>
      </c>
      <c r="E195" s="17" t="n">
        <v>1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364</v>
      </c>
      <c r="J195" s="17" t="n">
        <v>822.2</v>
      </c>
      <c r="K195" s="6" t="s">
        <f>=Портфель!F33*Портфель!G33/100*Портфель!$Q$13+Портфель!H33*Портфель!$Q$13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36" t="n">
        <v>45776</v>
      </c>
      <c r="B196" s="16" t="s">
        <v>1375</v>
      </c>
      <c r="C196" s="16" t="s">
        <v>100</v>
      </c>
      <c r="D196" s="16" t="s">
        <v>101</v>
      </c>
      <c r="E196" s="17" t="n">
        <v>1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302</v>
      </c>
      <c r="J196" s="17" t="n">
        <v>868.78</v>
      </c>
      <c r="K196" s="6" t="s">
        <f>=Портфель!F33*Портфель!G33/100*Портфель!$Q$13+Портфель!H33*Портфель!$Q$13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36" t="n">
        <v>45869</v>
      </c>
      <c r="B197" s="16" t="s">
        <v>1375</v>
      </c>
      <c r="C197" s="16" t="s">
        <v>100</v>
      </c>
      <c r="D197" s="16" t="s">
        <v>101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209</v>
      </c>
      <c r="J197" s="17" t="n">
        <v>921.13</v>
      </c>
      <c r="K197" s="6" t="s">
        <f>=Портфель!F33*Портфель!G33/100*Портфель!$Q$13+Портфель!H33*Портфель!$Q$13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36" t="n">
        <v>45869</v>
      </c>
      <c r="B198" s="16" t="s">
        <v>1375</v>
      </c>
      <c r="C198" s="16" t="s">
        <v>100</v>
      </c>
      <c r="D198" s="16" t="s">
        <v>101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209</v>
      </c>
      <c r="J198" s="17" t="n">
        <v>921.13</v>
      </c>
      <c r="K198" s="6" t="s">
        <f>=Портфель!F33*Портфель!G33/100*Портфель!$Q$13+Портфель!H33*Портфель!$Q$13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36" t="n">
        <v>45876</v>
      </c>
      <c r="B199" s="16" t="s">
        <v>1375</v>
      </c>
      <c r="C199" s="16" t="s">
        <v>100</v>
      </c>
      <c r="D199" s="16" t="s">
        <v>101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202</v>
      </c>
      <c r="J199" s="17" t="n">
        <v>927.41</v>
      </c>
      <c r="K199" s="6" t="s">
        <f>=Портфель!F33*Портфель!G33/100*Портфель!$Q$13+Портфель!H33*Портфель!$Q$13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36" t="n">
        <v>45876</v>
      </c>
      <c r="B200" s="16" t="s">
        <v>1375</v>
      </c>
      <c r="C200" s="16" t="s">
        <v>100</v>
      </c>
      <c r="D200" s="16" t="s">
        <v>101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202</v>
      </c>
      <c r="J200" s="17" t="n">
        <v>927.06</v>
      </c>
      <c r="K200" s="6" t="s">
        <f>=Портфель!F33*Портфель!G33/100*Портфель!$Q$13+Портфель!H33*Портфель!$Q$13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36" t="n">
        <v>45901</v>
      </c>
      <c r="B201" s="16" t="s">
        <v>1375</v>
      </c>
      <c r="C201" s="16" t="s">
        <v>100</v>
      </c>
      <c r="D201" s="16" t="s">
        <v>101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177</v>
      </c>
      <c r="J201" s="17" t="n">
        <v>942.46</v>
      </c>
      <c r="K201" s="6" t="s">
        <f>=Портфель!F33*Портфель!G33/100*Портфель!$Q$13+Портфель!H33*Портфель!$Q$13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36" t="n">
        <v>45931</v>
      </c>
      <c r="B202" s="16" t="s">
        <v>1375</v>
      </c>
      <c r="C202" s="16" t="s">
        <v>100</v>
      </c>
      <c r="D202" s="16" t="s">
        <v>101</v>
      </c>
      <c r="E202" s="17" t="n">
        <v>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147</v>
      </c>
      <c r="J202" s="17" t="n">
        <v>911.16</v>
      </c>
      <c r="K202" s="6" t="s">
        <f>=Портфель!F33*Портфель!G33/100*Портфель!$Q$13+Портфель!H33*Портфель!$Q$13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36" t="n">
        <v>44699</v>
      </c>
      <c r="B203" s="16" t="s">
        <v>1375</v>
      </c>
      <c r="C203" s="16" t="s">
        <v>103</v>
      </c>
      <c r="D203" s="16" t="s">
        <v>104</v>
      </c>
      <c r="E203" s="17" t="n">
        <v>1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1379</v>
      </c>
      <c r="J203" s="17" t="n">
        <v>769.66</v>
      </c>
      <c r="K203" s="6" t="s">
        <f>=Портфель!F34*Портфель!G34/100*Портфель!$Q$13+Портфель!H34*Портфель!$Q$13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36" t="n">
        <v>44868</v>
      </c>
      <c r="B204" s="16" t="s">
        <v>1375</v>
      </c>
      <c r="C204" s="16" t="s">
        <v>103</v>
      </c>
      <c r="D204" s="16" t="s">
        <v>104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1210</v>
      </c>
      <c r="J204" s="17" t="n">
        <v>790.02</v>
      </c>
      <c r="K204" s="6" t="s">
        <f>=Портфель!F34*Портфель!G34/100*Портфель!$Q$13+Портфель!H34*Портфель!$Q$13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36" t="n">
        <v>45006</v>
      </c>
      <c r="B205" s="16" t="s">
        <v>1375</v>
      </c>
      <c r="C205" s="16" t="s">
        <v>103</v>
      </c>
      <c r="D205" s="16" t="s">
        <v>104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1072</v>
      </c>
      <c r="J205" s="17" t="n">
        <v>779.81</v>
      </c>
      <c r="K205" s="6" t="s">
        <f>=Портфель!F34*Портфель!G34/100*Портфель!$Q$13+Портфель!H34*Портфель!$Q$13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36" t="n">
        <v>45147</v>
      </c>
      <c r="B206" s="16" t="s">
        <v>1375</v>
      </c>
      <c r="C206" s="16" t="s">
        <v>103</v>
      </c>
      <c r="D206" s="16" t="s">
        <v>104</v>
      </c>
      <c r="E206" s="17" t="n">
        <v>2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931</v>
      </c>
      <c r="J206" s="17" t="n">
        <v>784.26</v>
      </c>
      <c r="K206" s="6" t="s">
        <f>=Портфель!F34*Портфель!G34/100*Портфель!$Q$13+Портфель!H34*Портфель!$Q$13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36" t="n">
        <v>45184</v>
      </c>
      <c r="B207" s="16" t="s">
        <v>1375</v>
      </c>
      <c r="C207" s="16" t="s">
        <v>103</v>
      </c>
      <c r="D207" s="16" t="s">
        <v>104</v>
      </c>
      <c r="E207" s="17" t="n">
        <v>1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894</v>
      </c>
      <c r="J207" s="17" t="n">
        <v>763.63</v>
      </c>
      <c r="K207" s="6" t="s">
        <f>=Портфель!F34*Портфель!G34/100*Портфель!$Q$13+Портфель!H34*Портфель!$Q$13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36" t="n">
        <v>45184</v>
      </c>
      <c r="B208" s="16" t="s">
        <v>1375</v>
      </c>
      <c r="C208" s="16" t="s">
        <v>103</v>
      </c>
      <c r="D208" s="16" t="s">
        <v>104</v>
      </c>
      <c r="E208" s="17" t="n">
        <v>1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894</v>
      </c>
      <c r="J208" s="17" t="n">
        <v>763.59</v>
      </c>
      <c r="K208" s="6" t="s">
        <f>=Портфель!F34*Портфель!G34/100*Портфель!$Q$13+Портфель!H34*Портфель!$Q$13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36" t="n">
        <v>45267</v>
      </c>
      <c r="B209" s="16" t="s">
        <v>1375</v>
      </c>
      <c r="C209" s="16" t="s">
        <v>103</v>
      </c>
      <c r="D209" s="16" t="s">
        <v>104</v>
      </c>
      <c r="E209" s="17" t="n">
        <v>1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811</v>
      </c>
      <c r="J209" s="17" t="n">
        <v>737.64</v>
      </c>
      <c r="K209" s="6" t="s">
        <f>=Портфель!F34*Портфель!G34/100*Портфель!$Q$13+Портфель!H34*Портфель!$Q$13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36" t="n">
        <v>45387</v>
      </c>
      <c r="B210" s="16" t="s">
        <v>1375</v>
      </c>
      <c r="C210" s="16" t="s">
        <v>103</v>
      </c>
      <c r="D210" s="16" t="s">
        <v>104</v>
      </c>
      <c r="E210" s="17" t="n">
        <v>1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691</v>
      </c>
      <c r="J210" s="17" t="n">
        <v>687.54</v>
      </c>
      <c r="K210" s="6" t="s">
        <f>=Портфель!F34*Портфель!G34/100*Портфель!$Q$13+Портфель!H34*Портфель!$Q$13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36" t="n">
        <v>45387</v>
      </c>
      <c r="B211" s="16" t="s">
        <v>1375</v>
      </c>
      <c r="C211" s="16" t="s">
        <v>103</v>
      </c>
      <c r="D211" s="16" t="s">
        <v>104</v>
      </c>
      <c r="E211" s="17" t="n">
        <v>1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691</v>
      </c>
      <c r="J211" s="17" t="n">
        <v>687.55</v>
      </c>
      <c r="K211" s="6" t="s">
        <f>=Портфель!F34*Портфель!G34/100*Портфель!$Q$13+Портфель!H34*Портфель!$Q$13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36" t="n">
        <v>45506</v>
      </c>
      <c r="B212" s="16" t="s">
        <v>1375</v>
      </c>
      <c r="C212" s="16" t="s">
        <v>103</v>
      </c>
      <c r="D212" s="16" t="s">
        <v>104</v>
      </c>
      <c r="E212" s="17" t="n">
        <v>1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572</v>
      </c>
      <c r="J212" s="17" t="n">
        <v>646.67</v>
      </c>
      <c r="K212" s="6" t="s">
        <f>=Портфель!F34*Портфель!G34/100*Портфель!$Q$13+Портфель!H34*Портфель!$Q$13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36" t="n">
        <v>45566</v>
      </c>
      <c r="B213" s="16" t="s">
        <v>1375</v>
      </c>
      <c r="C213" s="16" t="s">
        <v>103</v>
      </c>
      <c r="D213" s="16" t="s">
        <v>104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512</v>
      </c>
      <c r="J213" s="17" t="n">
        <v>594.98</v>
      </c>
      <c r="K213" s="6" t="s">
        <f>=Портфель!F34*Портфель!G34/100*Портфель!$Q$13+Портфель!H34*Портфель!$Q$13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36" t="n">
        <v>45566</v>
      </c>
      <c r="B214" s="16" t="s">
        <v>1375</v>
      </c>
      <c r="C214" s="16" t="s">
        <v>103</v>
      </c>
      <c r="D214" s="16" t="s">
        <v>104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512</v>
      </c>
      <c r="J214" s="17" t="n">
        <v>594.76</v>
      </c>
      <c r="K214" s="6" t="s">
        <f>=Портфель!F34*Портфель!G34/100*Портфель!$Q$13+Портфель!H34*Портфель!$Q$13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36" t="n">
        <v>45714</v>
      </c>
      <c r="B215" s="16" t="s">
        <v>1375</v>
      </c>
      <c r="C215" s="16" t="s">
        <v>103</v>
      </c>
      <c r="D215" s="16" t="s">
        <v>104</v>
      </c>
      <c r="E215" s="17" t="n">
        <v>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364</v>
      </c>
      <c r="J215" s="17" t="n">
        <v>664.15</v>
      </c>
      <c r="K215" s="6" t="s">
        <f>=Портфель!F34*Портфель!G34/100*Портфель!$Q$13+Портфель!H34*Портфель!$Q$13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36" t="n">
        <v>45959</v>
      </c>
      <c r="B216" s="16" t="s">
        <v>1375</v>
      </c>
      <c r="C216" s="16" t="s">
        <v>103</v>
      </c>
      <c r="D216" s="16" t="s">
        <v>104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119</v>
      </c>
      <c r="J216" s="17" t="n">
        <v>692.02</v>
      </c>
      <c r="K216" s="6" t="s">
        <f>=Портфель!F34*Портфель!G34/100*Портфель!$Q$13+Портфель!H34*Портфель!$Q$13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36" t="n">
        <v>45959</v>
      </c>
      <c r="B217" s="16" t="s">
        <v>1375</v>
      </c>
      <c r="C217" s="16" t="s">
        <v>103</v>
      </c>
      <c r="D217" s="16" t="s">
        <v>104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119</v>
      </c>
      <c r="J217" s="17" t="n">
        <v>691.99</v>
      </c>
      <c r="K217" s="6" t="s">
        <f>=Портфель!F34*Портфель!G34/100*Портфель!$Q$13+Портфель!H34*Портфель!$Q$13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36" t="n">
        <v>45959</v>
      </c>
      <c r="B218" s="16" t="s">
        <v>1375</v>
      </c>
      <c r="C218" s="16" t="s">
        <v>103</v>
      </c>
      <c r="D218" s="16" t="s">
        <v>104</v>
      </c>
      <c r="E218" s="17" t="n">
        <v>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119</v>
      </c>
      <c r="J218" s="17" t="n">
        <v>691.95</v>
      </c>
      <c r="K218" s="6" t="s">
        <f>=Портфель!F34*Портфель!G34/100*Портфель!$Q$13+Портфель!H34*Портфель!$Q$13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36" t="n">
        <v>44868</v>
      </c>
      <c r="B219" s="16" t="s">
        <v>1375</v>
      </c>
      <c r="C219" s="16" t="s">
        <v>106</v>
      </c>
      <c r="D219" s="16" t="s">
        <v>107</v>
      </c>
      <c r="E219" s="17" t="n">
        <v>1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1210</v>
      </c>
      <c r="J219" s="17" t="n">
        <v>831.71</v>
      </c>
      <c r="K219" s="6" t="s">
        <f>=Портфель!F35*Портфель!G35/100*Портфель!$Q$13+Портфель!H35*Портфель!$Q$13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36" t="n">
        <v>44950</v>
      </c>
      <c r="B220" s="16" t="s">
        <v>1375</v>
      </c>
      <c r="C220" s="16" t="s">
        <v>106</v>
      </c>
      <c r="D220" s="16" t="s">
        <v>107</v>
      </c>
      <c r="E220" s="17" t="n">
        <v>1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1128</v>
      </c>
      <c r="J220" s="17" t="n">
        <v>837.75</v>
      </c>
      <c r="K220" s="6" t="s">
        <f>=Портфель!F35*Портфель!G35/100*Портфель!$Q$13+Портфель!H35*Портфель!$Q$13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36" t="n">
        <v>45006</v>
      </c>
      <c r="B221" s="16" t="s">
        <v>1375</v>
      </c>
      <c r="C221" s="16" t="s">
        <v>106</v>
      </c>
      <c r="D221" s="16" t="s">
        <v>107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1072</v>
      </c>
      <c r="J221" s="17" t="n">
        <v>831.77</v>
      </c>
      <c r="K221" s="6" t="s">
        <f>=Портфель!F35*Портфель!G35/100*Портфель!$Q$13+Портфель!H35*Портфель!$Q$13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36" t="n">
        <v>45184</v>
      </c>
      <c r="B222" s="16" t="s">
        <v>1375</v>
      </c>
      <c r="C222" s="16" t="s">
        <v>106</v>
      </c>
      <c r="D222" s="16" t="s">
        <v>107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894</v>
      </c>
      <c r="J222" s="17" t="n">
        <v>776.84</v>
      </c>
      <c r="K222" s="6" t="s">
        <f>=Портфель!F35*Портфель!G35/100*Портфель!$Q$13+Портфель!H35*Портфель!$Q$13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36" t="n">
        <v>45184</v>
      </c>
      <c r="B223" s="16" t="s">
        <v>1375</v>
      </c>
      <c r="C223" s="16" t="s">
        <v>106</v>
      </c>
      <c r="D223" s="16" t="s">
        <v>107</v>
      </c>
      <c r="E223" s="17" t="n">
        <v>1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894</v>
      </c>
      <c r="J223" s="17" t="n">
        <v>776.85</v>
      </c>
      <c r="K223" s="6" t="s">
        <f>=Портфель!F35*Портфель!G35/100*Портфель!$Q$13+Портфель!H35*Портфель!$Q$13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36" t="n">
        <v>45240</v>
      </c>
      <c r="B224" s="16" t="s">
        <v>1375</v>
      </c>
      <c r="C224" s="16" t="s">
        <v>106</v>
      </c>
      <c r="D224" s="16" t="s">
        <v>107</v>
      </c>
      <c r="E224" s="17" t="n">
        <v>1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838</v>
      </c>
      <c r="J224" s="17" t="n">
        <v>746.54</v>
      </c>
      <c r="K224" s="6" t="s">
        <f>=Портфель!F35*Портфель!G35/100*Портфель!$Q$13+Портфель!H35*Портфель!$Q$13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36" t="n">
        <v>45267</v>
      </c>
      <c r="B225" s="16" t="s">
        <v>1375</v>
      </c>
      <c r="C225" s="16" t="s">
        <v>106</v>
      </c>
      <c r="D225" s="16" t="s">
        <v>107</v>
      </c>
      <c r="E225" s="17" t="n">
        <v>2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811</v>
      </c>
      <c r="J225" s="17" t="n">
        <v>729.34</v>
      </c>
      <c r="K225" s="6" t="s">
        <f>=Портфель!F35*Портфель!G35/100*Портфель!$Q$13+Портфель!H35*Портфель!$Q$13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36" t="n">
        <v>45303</v>
      </c>
      <c r="B226" s="16" t="s">
        <v>1375</v>
      </c>
      <c r="C226" s="16" t="s">
        <v>106</v>
      </c>
      <c r="D226" s="16" t="s">
        <v>107</v>
      </c>
      <c r="E226" s="17" t="n">
        <v>2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775</v>
      </c>
      <c r="J226" s="17" t="n">
        <v>730.82</v>
      </c>
      <c r="K226" s="6" t="s">
        <f>=Портфель!F35*Портфель!G35/100*Портфель!$Q$13+Портфель!H35*Портфель!$Q$13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36" t="n">
        <v>45351</v>
      </c>
      <c r="B227" s="16" t="s">
        <v>1375</v>
      </c>
      <c r="C227" s="16" t="s">
        <v>106</v>
      </c>
      <c r="D227" s="16" t="s">
        <v>107</v>
      </c>
      <c r="E227" s="17" t="n">
        <v>1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727</v>
      </c>
      <c r="J227" s="17" t="n">
        <v>730.51</v>
      </c>
      <c r="K227" s="6" t="s">
        <f>=Портфель!F35*Портфель!G35/100*Портфель!$Q$13+Портфель!H35*Портфель!$Q$13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36" t="n">
        <v>45351</v>
      </c>
      <c r="B228" s="16" t="s">
        <v>1375</v>
      </c>
      <c r="C228" s="16" t="s">
        <v>106</v>
      </c>
      <c r="D228" s="16" t="s">
        <v>107</v>
      </c>
      <c r="E228" s="17" t="n">
        <v>1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727</v>
      </c>
      <c r="J228" s="17" t="n">
        <v>730.47</v>
      </c>
      <c r="K228" s="6" t="s">
        <f>=Портфель!F35*Портфель!G35/100*Портфель!$Q$13+Портфель!H35*Портфель!$Q$13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36" t="n">
        <v>45356</v>
      </c>
      <c r="B229" s="16" t="s">
        <v>1375</v>
      </c>
      <c r="C229" s="16" t="s">
        <v>106</v>
      </c>
      <c r="D229" s="16" t="s">
        <v>107</v>
      </c>
      <c r="E229" s="17" t="n">
        <v>1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722</v>
      </c>
      <c r="J229" s="17" t="n">
        <v>725.98</v>
      </c>
      <c r="K229" s="6" t="s">
        <f>=Портфель!F35*Портфель!G35/100*Портфель!$Q$13+Портфель!H35*Портфель!$Q$13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36" t="n">
        <v>45387</v>
      </c>
      <c r="B230" s="16" t="s">
        <v>1375</v>
      </c>
      <c r="C230" s="16" t="s">
        <v>106</v>
      </c>
      <c r="D230" s="16" t="s">
        <v>107</v>
      </c>
      <c r="E230" s="17" t="n">
        <v>1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691</v>
      </c>
      <c r="J230" s="17" t="n">
        <v>649.19</v>
      </c>
      <c r="K230" s="6" t="s">
        <f>=Портфель!F35*Портфель!G35/100*Портфель!$Q$13+Портфель!H35*Портфель!$Q$13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36" t="n">
        <v>45447</v>
      </c>
      <c r="B231" s="16" t="s">
        <v>1375</v>
      </c>
      <c r="C231" s="16" t="s">
        <v>106</v>
      </c>
      <c r="D231" s="16" t="s">
        <v>107</v>
      </c>
      <c r="E231" s="17" t="n">
        <v>1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631</v>
      </c>
      <c r="J231" s="17" t="n">
        <v>610.68</v>
      </c>
      <c r="K231" s="6" t="s">
        <f>=Портфель!F35*Портфель!G35/100*Портфель!$Q$13+Портфель!H35*Портфель!$Q$13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36" t="n">
        <v>45506</v>
      </c>
      <c r="B232" s="16" t="s">
        <v>1375</v>
      </c>
      <c r="C232" s="16" t="s">
        <v>106</v>
      </c>
      <c r="D232" s="16" t="s">
        <v>107</v>
      </c>
      <c r="E232" s="17" t="n">
        <v>1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572</v>
      </c>
      <c r="J232" s="17" t="n">
        <v>600.32</v>
      </c>
      <c r="K232" s="6" t="s">
        <f>=Портфель!F35*Портфель!G35/100*Портфель!$Q$13+Портфель!H35*Портфель!$Q$13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36" t="n">
        <v>45714</v>
      </c>
      <c r="B233" s="16" t="s">
        <v>1375</v>
      </c>
      <c r="C233" s="16" t="s">
        <v>106</v>
      </c>
      <c r="D233" s="16" t="s">
        <v>107</v>
      </c>
      <c r="E233" s="17" t="n">
        <v>1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364</v>
      </c>
      <c r="J233" s="17" t="n">
        <v>607.69</v>
      </c>
      <c r="K233" s="6" t="s">
        <f>=Портфель!F35*Портфель!G35/100*Портфель!$Q$13+Портфель!H35*Портфель!$Q$13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36" t="n">
        <v>45931</v>
      </c>
      <c r="B234" s="16" t="s">
        <v>1375</v>
      </c>
      <c r="C234" s="16" t="s">
        <v>106</v>
      </c>
      <c r="D234" s="16" t="s">
        <v>107</v>
      </c>
      <c r="E234" s="17" t="n">
        <v>1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147</v>
      </c>
      <c r="J234" s="17" t="n">
        <v>604.68</v>
      </c>
      <c r="K234" s="6" t="s">
        <f>=Портфель!F35*Портфель!G35/100*Портфель!$Q$13+Портфель!H35*Портфель!$Q$13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36" t="n">
        <v>44708</v>
      </c>
      <c r="B235" s="16" t="s">
        <v>1375</v>
      </c>
      <c r="C235" s="16" t="s">
        <v>109</v>
      </c>
      <c r="D235" s="16" t="s">
        <v>110</v>
      </c>
      <c r="E235" s="17" t="n">
        <v>1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1370</v>
      </c>
      <c r="J235" s="17" t="n">
        <v>1064.65</v>
      </c>
      <c r="K235" s="6" t="s">
        <f>=Портфель!F36*Портфель!G36/100*Портфель!$Q$13+Портфель!H36*Портфель!$Q$13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36" t="n">
        <v>44903</v>
      </c>
      <c r="B236" s="16" t="s">
        <v>1375</v>
      </c>
      <c r="C236" s="16" t="s">
        <v>109</v>
      </c>
      <c r="D236" s="16" t="s">
        <v>110</v>
      </c>
      <c r="E236" s="17" t="n">
        <v>1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1175</v>
      </c>
      <c r="J236" s="17" t="n">
        <v>1057.94</v>
      </c>
      <c r="K236" s="6" t="s">
        <f>=Портфель!F36*Портфель!G36/100*Портфель!$Q$13+Портфель!H36*Портфель!$Q$13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36" t="n">
        <v>44950</v>
      </c>
      <c r="B237" s="16" t="s">
        <v>1375</v>
      </c>
      <c r="C237" s="16" t="s">
        <v>109</v>
      </c>
      <c r="D237" s="16" t="s">
        <v>110</v>
      </c>
      <c r="E237" s="17" t="n">
        <v>1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1128</v>
      </c>
      <c r="J237" s="17" t="n">
        <v>1068.42</v>
      </c>
      <c r="K237" s="6" t="s">
        <f>=Портфель!F36*Портфель!G36/100*Портфель!$Q$13+Портфель!H36*Портфель!$Q$13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36" t="n">
        <v>45447</v>
      </c>
      <c r="B238" s="16" t="s">
        <v>1375</v>
      </c>
      <c r="C238" s="16" t="s">
        <v>109</v>
      </c>
      <c r="D238" s="16" t="s">
        <v>110</v>
      </c>
      <c r="E238" s="17" t="n">
        <v>1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631</v>
      </c>
      <c r="J238" s="17" t="n">
        <v>1067.75</v>
      </c>
      <c r="K238" s="6" t="s">
        <f>=Портфель!F36*Портфель!G36/100*Портфель!$Q$13+Портфель!H36*Портфель!$Q$13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36" t="n">
        <v>45447</v>
      </c>
      <c r="B239" s="16" t="s">
        <v>1375</v>
      </c>
      <c r="C239" s="16" t="s">
        <v>109</v>
      </c>
      <c r="D239" s="16" t="s">
        <v>110</v>
      </c>
      <c r="E239" s="17" t="n">
        <v>1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631</v>
      </c>
      <c r="J239" s="17" t="n">
        <v>1067.75</v>
      </c>
      <c r="K239" s="6" t="s">
        <f>=Портфель!F36*Портфель!G36/100*Портфель!$Q$13+Портфель!H36*Портфель!$Q$13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36" t="n">
        <v>45506</v>
      </c>
      <c r="B240" s="16" t="s">
        <v>1375</v>
      </c>
      <c r="C240" s="16" t="s">
        <v>109</v>
      </c>
      <c r="D240" s="16" t="s">
        <v>110</v>
      </c>
      <c r="E240" s="17" t="n">
        <v>1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572</v>
      </c>
      <c r="J240" s="17" t="n">
        <v>1098.65</v>
      </c>
      <c r="K240" s="6" t="s">
        <f>=Портфель!F36*Портфель!G36/100*Портфель!$Q$13+Портфель!H36*Портфель!$Q$13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36" t="n">
        <v>45566</v>
      </c>
      <c r="B241" s="16" t="s">
        <v>1375</v>
      </c>
      <c r="C241" s="16" t="s">
        <v>109</v>
      </c>
      <c r="D241" s="16" t="s">
        <v>110</v>
      </c>
      <c r="E241" s="17" t="n">
        <v>1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512</v>
      </c>
      <c r="J241" s="17" t="n">
        <v>1101.95</v>
      </c>
      <c r="K241" s="6" t="s">
        <f>=Портфель!F36*Портфель!G36/100*Портфель!$Q$13+Портфель!H36*Портфель!$Q$13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36" t="n">
        <v>45702</v>
      </c>
      <c r="B242" s="16" t="s">
        <v>1375</v>
      </c>
      <c r="C242" s="16" t="s">
        <v>109</v>
      </c>
      <c r="D242" s="16" t="s">
        <v>110</v>
      </c>
      <c r="E242" s="17" t="n">
        <v>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376</v>
      </c>
      <c r="J242" s="17" t="n">
        <v>1090.65</v>
      </c>
      <c r="K242" s="6" t="s">
        <f>=Портфель!F36*Портфель!G36/100*Портфель!$Q$13+Портфель!H36*Портфель!$Q$13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36" t="n">
        <v>45702</v>
      </c>
      <c r="B243" s="16" t="s">
        <v>1375</v>
      </c>
      <c r="C243" s="16" t="s">
        <v>109</v>
      </c>
      <c r="D243" s="16" t="s">
        <v>110</v>
      </c>
      <c r="E243" s="17" t="n">
        <v>1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376</v>
      </c>
      <c r="J243" s="17" t="n">
        <v>1090.61</v>
      </c>
      <c r="K243" s="6" t="s">
        <f>=Портфель!F36*Портфель!G36/100*Портфель!$Q$13+Портфель!H36*Портфель!$Q$13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36" t="n">
        <v>45714</v>
      </c>
      <c r="B244" s="16" t="s">
        <v>1375</v>
      </c>
      <c r="C244" s="16" t="s">
        <v>109</v>
      </c>
      <c r="D244" s="16" t="s">
        <v>110</v>
      </c>
      <c r="E244" s="17" t="n">
        <v>1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364</v>
      </c>
      <c r="J244" s="17" t="n">
        <v>1094.45</v>
      </c>
      <c r="K244" s="6" t="s">
        <f>=Портфель!F36*Портфель!G36/100*Портфель!$Q$13+Портфель!H36*Портфель!$Q$13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36" t="n">
        <v>45714</v>
      </c>
      <c r="B245" s="16" t="s">
        <v>1375</v>
      </c>
      <c r="C245" s="16" t="s">
        <v>109</v>
      </c>
      <c r="D245" s="16" t="s">
        <v>110</v>
      </c>
      <c r="E245" s="17" t="n">
        <v>1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364</v>
      </c>
      <c r="J245" s="17" t="n">
        <v>1094.6</v>
      </c>
      <c r="K245" s="6" t="s">
        <f>=Портфель!F36*Портфель!G36/100*Портфель!$Q$13+Портфель!H36*Портфель!$Q$13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36" t="n">
        <v>44903</v>
      </c>
      <c r="B246" s="16" t="s">
        <v>1375</v>
      </c>
      <c r="C246" s="16" t="s">
        <v>112</v>
      </c>
      <c r="D246" s="16" t="s">
        <v>113</v>
      </c>
      <c r="E246" s="17" t="n">
        <v>1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1175</v>
      </c>
      <c r="J246" s="17" t="n">
        <v>808.71</v>
      </c>
      <c r="K246" s="6" t="s">
        <f>=Портфель!F37*Портфель!G37/100*Портфель!$Q$13+Портфель!H37*Портфель!$Q$13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36" t="n">
        <v>44950</v>
      </c>
      <c r="B247" s="16" t="s">
        <v>1375</v>
      </c>
      <c r="C247" s="16" t="s">
        <v>112</v>
      </c>
      <c r="D247" s="16" t="s">
        <v>113</v>
      </c>
      <c r="E247" s="17" t="n">
        <v>1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1128</v>
      </c>
      <c r="J247" s="17" t="n">
        <v>805.19</v>
      </c>
      <c r="K247" s="6" t="s">
        <f>=Портфель!F37*Портфель!G37/100*Портфель!$Q$13+Портфель!H37*Портфель!$Q$13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36" t="n">
        <v>45006</v>
      </c>
      <c r="B248" s="16" t="s">
        <v>1375</v>
      </c>
      <c r="C248" s="16" t="s">
        <v>112</v>
      </c>
      <c r="D248" s="16" t="s">
        <v>113</v>
      </c>
      <c r="E248" s="17" t="n">
        <v>1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1072</v>
      </c>
      <c r="J248" s="17" t="n">
        <v>763.22</v>
      </c>
      <c r="K248" s="6" t="s">
        <f>=Портфель!F37*Портфель!G37/100*Портфель!$Q$13+Портфель!H37*Портфель!$Q$13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36" t="n">
        <v>45082</v>
      </c>
      <c r="B249" s="16" t="s">
        <v>1375</v>
      </c>
      <c r="C249" s="16" t="s">
        <v>112</v>
      </c>
      <c r="D249" s="16" t="s">
        <v>113</v>
      </c>
      <c r="E249" s="17" t="n">
        <v>2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996</v>
      </c>
      <c r="J249" s="17" t="n">
        <v>776.93</v>
      </c>
      <c r="K249" s="6" t="s">
        <f>=Портфель!F37*Портфель!G37/100*Портфель!$Q$13+Портфель!H37*Портфель!$Q$13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36" t="n">
        <v>45104</v>
      </c>
      <c r="B250" s="16" t="s">
        <v>1375</v>
      </c>
      <c r="C250" s="16" t="s">
        <v>112</v>
      </c>
      <c r="D250" s="16" t="s">
        <v>113</v>
      </c>
      <c r="E250" s="17" t="n">
        <v>2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974</v>
      </c>
      <c r="J250" s="17" t="n">
        <v>770.63</v>
      </c>
      <c r="K250" s="6" t="s">
        <f>=Портфель!F37*Портфель!G37/100*Портфель!$Q$13+Портфель!H37*Портфель!$Q$13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36" t="n">
        <v>45184</v>
      </c>
      <c r="B251" s="16" t="s">
        <v>1375</v>
      </c>
      <c r="C251" s="16" t="s">
        <v>112</v>
      </c>
      <c r="D251" s="16" t="s">
        <v>113</v>
      </c>
      <c r="E251" s="17" t="n">
        <v>1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894</v>
      </c>
      <c r="J251" s="17" t="n">
        <v>720.42</v>
      </c>
      <c r="K251" s="6" t="s">
        <f>=Портфель!F37*Портфель!G37/100*Портфель!$Q$13+Портфель!H37*Портфель!$Q$13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36" t="n">
        <v>45184</v>
      </c>
      <c r="B252" s="16" t="s">
        <v>1375</v>
      </c>
      <c r="C252" s="16" t="s">
        <v>112</v>
      </c>
      <c r="D252" s="16" t="s">
        <v>113</v>
      </c>
      <c r="E252" s="17" t="n">
        <v>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894</v>
      </c>
      <c r="J252" s="17" t="n">
        <v>720.42</v>
      </c>
      <c r="K252" s="6" t="s">
        <f>=Портфель!F37*Портфель!G37/100*Портфель!$Q$13+Портфель!H37*Портфель!$Q$13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36" t="n">
        <v>45184</v>
      </c>
      <c r="B253" s="16" t="s">
        <v>1375</v>
      </c>
      <c r="C253" s="16" t="s">
        <v>112</v>
      </c>
      <c r="D253" s="16" t="s">
        <v>113</v>
      </c>
      <c r="E253" s="17" t="n">
        <v>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894</v>
      </c>
      <c r="J253" s="17" t="n">
        <v>720.42</v>
      </c>
      <c r="K253" s="6" t="s">
        <f>=Портфель!F37*Портфель!G37/100*Портфель!$Q$13+Портфель!H37*Портфель!$Q$13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36" t="n">
        <v>45303</v>
      </c>
      <c r="B254" s="16" t="s">
        <v>1375</v>
      </c>
      <c r="C254" s="16" t="s">
        <v>112</v>
      </c>
      <c r="D254" s="16" t="s">
        <v>113</v>
      </c>
      <c r="E254" s="17" t="n">
        <v>2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775</v>
      </c>
      <c r="J254" s="17" t="n">
        <v>714.19</v>
      </c>
      <c r="K254" s="6" t="s">
        <f>=Портфель!F37*Портфель!G37/100*Портфель!$Q$13+Портфель!H37*Портфель!$Q$13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36" t="n">
        <v>45351</v>
      </c>
      <c r="B255" s="16" t="s">
        <v>1375</v>
      </c>
      <c r="C255" s="16" t="s">
        <v>112</v>
      </c>
      <c r="D255" s="16" t="s">
        <v>113</v>
      </c>
      <c r="E255" s="17" t="n">
        <v>1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727</v>
      </c>
      <c r="J255" s="17" t="n">
        <v>680.1</v>
      </c>
      <c r="K255" s="6" t="s">
        <f>=Портфель!F37*Портфель!G37/100*Портфель!$Q$13+Портфель!H37*Портфель!$Q$13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36" t="n">
        <v>45356</v>
      </c>
      <c r="B256" s="16" t="s">
        <v>1375</v>
      </c>
      <c r="C256" s="16" t="s">
        <v>112</v>
      </c>
      <c r="D256" s="16" t="s">
        <v>113</v>
      </c>
      <c r="E256" s="17" t="n">
        <v>1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722</v>
      </c>
      <c r="J256" s="17" t="n">
        <v>673.53</v>
      </c>
      <c r="K256" s="6" t="s">
        <f>=Портфель!F37*Портфель!G37/100*Портфель!$Q$13+Портфель!H37*Портфель!$Q$13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36" t="n">
        <v>45387</v>
      </c>
      <c r="B257" s="16" t="s">
        <v>1375</v>
      </c>
      <c r="C257" s="16" t="s">
        <v>112</v>
      </c>
      <c r="D257" s="16" t="s">
        <v>113</v>
      </c>
      <c r="E257" s="17" t="n">
        <v>1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691</v>
      </c>
      <c r="J257" s="17" t="n">
        <v>636.15</v>
      </c>
      <c r="K257" s="6" t="s">
        <f>=Портфель!F37*Портфель!G37/100*Портфель!$Q$13+Портфель!H37*Портфель!$Q$13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36" t="n">
        <v>45447</v>
      </c>
      <c r="B258" s="16" t="s">
        <v>1375</v>
      </c>
      <c r="C258" s="16" t="s">
        <v>112</v>
      </c>
      <c r="D258" s="16" t="s">
        <v>113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631</v>
      </c>
      <c r="J258" s="17" t="n">
        <v>602.21</v>
      </c>
      <c r="K258" s="6" t="s">
        <f>=Портфель!F37*Портфель!G37/100*Портфель!$Q$13+Портфель!H37*Портфель!$Q$13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36" t="n">
        <v>45471</v>
      </c>
      <c r="B259" s="16" t="s">
        <v>1375</v>
      </c>
      <c r="C259" s="16" t="s">
        <v>112</v>
      </c>
      <c r="D259" s="16" t="s">
        <v>113</v>
      </c>
      <c r="E259" s="17" t="n">
        <v>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607</v>
      </c>
      <c r="J259" s="17" t="n">
        <v>594.05</v>
      </c>
      <c r="K259" s="6" t="s">
        <f>=Портфель!F37*Портфель!G37/100*Портфель!$Q$13+Портфель!H37*Портфель!$Q$13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36" t="n">
        <v>45506</v>
      </c>
      <c r="B260" s="16" t="s">
        <v>1375</v>
      </c>
      <c r="C260" s="16" t="s">
        <v>112</v>
      </c>
      <c r="D260" s="16" t="s">
        <v>113</v>
      </c>
      <c r="E260" s="17" t="n">
        <v>1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572</v>
      </c>
      <c r="J260" s="17" t="n">
        <v>587.83</v>
      </c>
      <c r="K260" s="6" t="s">
        <f>=Портфель!F37*Портфель!G37/100*Портфель!$Q$13+Портфель!H37*Портфель!$Q$13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36" t="n">
        <v>45714</v>
      </c>
      <c r="B261" s="16" t="s">
        <v>1375</v>
      </c>
      <c r="C261" s="16" t="s">
        <v>112</v>
      </c>
      <c r="D261" s="16" t="s">
        <v>113</v>
      </c>
      <c r="E261" s="17" t="n">
        <v>1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364</v>
      </c>
      <c r="J261" s="17" t="n">
        <v>570.58</v>
      </c>
      <c r="K261" s="6" t="s">
        <f>=Портфель!F37*Портфель!G37/100*Портфель!$Q$13+Портфель!H37*Портфель!$Q$13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36" t="n">
        <v>45566</v>
      </c>
      <c r="B262" s="16" t="s">
        <v>1375</v>
      </c>
      <c r="C262" s="16" t="s">
        <v>115</v>
      </c>
      <c r="D262" s="16" t="s">
        <v>116</v>
      </c>
      <c r="E262" s="17" t="n">
        <v>1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512</v>
      </c>
      <c r="J262" s="17" t="n">
        <v>836.65</v>
      </c>
      <c r="K262" s="6" t="s">
        <f>=Портфель!F38*Портфель!G38/100*Портфель!$Q$13+Портфель!H38*Портфель!$Q$13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36" t="n">
        <v>45702</v>
      </c>
      <c r="B263" s="16" t="s">
        <v>1375</v>
      </c>
      <c r="C263" s="16" t="s">
        <v>115</v>
      </c>
      <c r="D263" s="16" t="s">
        <v>116</v>
      </c>
      <c r="E263" s="17" t="n">
        <v>1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376</v>
      </c>
      <c r="J263" s="17" t="n">
        <v>864.43</v>
      </c>
      <c r="K263" s="6" t="s">
        <f>=Портфель!F38*Портфель!G38/100*Портфель!$Q$13+Портфель!H38*Портфель!$Q$13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36" t="n">
        <v>45714</v>
      </c>
      <c r="B264" s="16" t="s">
        <v>1375</v>
      </c>
      <c r="C264" s="16" t="s">
        <v>115</v>
      </c>
      <c r="D264" s="16" t="s">
        <v>116</v>
      </c>
      <c r="E264" s="17" t="n">
        <v>1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364</v>
      </c>
      <c r="J264" s="17" t="n">
        <v>829.06</v>
      </c>
      <c r="K264" s="6" t="s">
        <f>=Портфель!F38*Портфель!G38/100*Портфель!$Q$13+Портфель!H38*Портфель!$Q$13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36" t="n">
        <v>45714</v>
      </c>
      <c r="B265" s="16" t="s">
        <v>1375</v>
      </c>
      <c r="C265" s="16" t="s">
        <v>115</v>
      </c>
      <c r="D265" s="16" t="s">
        <v>116</v>
      </c>
      <c r="E265" s="17" t="n">
        <v>1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364</v>
      </c>
      <c r="J265" s="17" t="n">
        <v>829.05</v>
      </c>
      <c r="K265" s="6" t="s">
        <f>=Портфель!F38*Портфель!G38/100*Портфель!$Q$13+Портфель!H38*Портфель!$Q$13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36" t="n">
        <v>45714</v>
      </c>
      <c r="B266" s="16" t="s">
        <v>1375</v>
      </c>
      <c r="C266" s="16" t="s">
        <v>115</v>
      </c>
      <c r="D266" s="16" t="s">
        <v>116</v>
      </c>
      <c r="E266" s="17" t="n">
        <v>1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364</v>
      </c>
      <c r="J266" s="17" t="n">
        <v>829.25</v>
      </c>
      <c r="K266" s="6" t="s">
        <f>=Портфель!F38*Портфель!G38/100*Портфель!$Q$13+Портфель!H38*Портфель!$Q$13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36" t="n">
        <v>45776</v>
      </c>
      <c r="B267" s="16" t="s">
        <v>1375</v>
      </c>
      <c r="C267" s="16" t="s">
        <v>115</v>
      </c>
      <c r="D267" s="16" t="s">
        <v>116</v>
      </c>
      <c r="E267" s="17" t="n">
        <v>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302</v>
      </c>
      <c r="J267" s="17" t="n">
        <v>873.64</v>
      </c>
      <c r="K267" s="6" t="s">
        <f>=Портфель!F38*Портфель!G38/100*Портфель!$Q$13+Портфель!H38*Портфель!$Q$13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36" t="n">
        <v>45869</v>
      </c>
      <c r="B268" s="16" t="s">
        <v>1375</v>
      </c>
      <c r="C268" s="16" t="s">
        <v>115</v>
      </c>
      <c r="D268" s="16" t="s">
        <v>116</v>
      </c>
      <c r="E268" s="17" t="n">
        <v>1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209</v>
      </c>
      <c r="J268" s="17" t="n">
        <v>924.95</v>
      </c>
      <c r="K268" s="6" t="s">
        <f>=Портфель!F38*Портфель!G38/100*Портфель!$Q$13+Портфель!H38*Портфель!$Q$13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36" t="n">
        <v>45876</v>
      </c>
      <c r="B269" s="16" t="s">
        <v>1375</v>
      </c>
      <c r="C269" s="16" t="s">
        <v>115</v>
      </c>
      <c r="D269" s="16" t="s">
        <v>116</v>
      </c>
      <c r="E269" s="17" t="n">
        <v>1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202</v>
      </c>
      <c r="J269" s="17" t="n">
        <v>931.79</v>
      </c>
      <c r="K269" s="6" t="s">
        <f>=Портфель!F38*Портфель!G38/100*Портфель!$Q$13+Портфель!H38*Портфель!$Q$13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36" t="n">
        <v>45876</v>
      </c>
      <c r="B270" s="16" t="s">
        <v>1375</v>
      </c>
      <c r="C270" s="16" t="s">
        <v>115</v>
      </c>
      <c r="D270" s="16" t="s">
        <v>116</v>
      </c>
      <c r="E270" s="17" t="n">
        <v>1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202</v>
      </c>
      <c r="J270" s="17" t="n">
        <v>931.51</v>
      </c>
      <c r="K270" s="6" t="s">
        <f>=Портфель!F38*Портфель!G38/100*Портфель!$Q$13+Портфель!H38*Портфель!$Q$13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36" t="n">
        <v>45901</v>
      </c>
      <c r="B271" s="16" t="s">
        <v>1375</v>
      </c>
      <c r="C271" s="16" t="s">
        <v>115</v>
      </c>
      <c r="D271" s="16" t="s">
        <v>116</v>
      </c>
      <c r="E271" s="17" t="n">
        <v>1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177</v>
      </c>
      <c r="J271" s="17" t="n">
        <v>945.91</v>
      </c>
      <c r="K271" s="6" t="s">
        <f>=Портфель!F38*Портфель!G38/100*Портфель!$Q$13+Портфель!H38*Портфель!$Q$13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36" t="n">
        <v>45931</v>
      </c>
      <c r="B272" s="16" t="s">
        <v>1375</v>
      </c>
      <c r="C272" s="16" t="s">
        <v>115</v>
      </c>
      <c r="D272" s="16" t="s">
        <v>116</v>
      </c>
      <c r="E272" s="17" t="n">
        <v>1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147</v>
      </c>
      <c r="J272" s="17" t="n">
        <v>912.72</v>
      </c>
      <c r="K272" s="6" t="s">
        <f>=Портфель!F38*Портфель!G38/100*Портфель!$Q$13+Портфель!H38*Портфель!$Q$13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36" t="n">
        <v>46027</v>
      </c>
      <c r="B273" s="16" t="s">
        <v>1375</v>
      </c>
      <c r="C273" s="16" t="s">
        <v>115</v>
      </c>
      <c r="D273" s="16" t="s">
        <v>116</v>
      </c>
      <c r="E273" s="17" t="n">
        <v>1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51</v>
      </c>
      <c r="J273" s="17" t="n">
        <v>906.42</v>
      </c>
      <c r="K273" s="6" t="s">
        <f>=Портфель!F38*Портфель!G38/100*Портфель!$Q$13+Портфель!H38*Портфель!$Q$13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36" t="n">
        <v>46027</v>
      </c>
      <c r="B274" s="16" t="s">
        <v>1375</v>
      </c>
      <c r="C274" s="16" t="s">
        <v>115</v>
      </c>
      <c r="D274" s="16" t="s">
        <v>116</v>
      </c>
      <c r="E274" s="17" t="n">
        <v>1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51</v>
      </c>
      <c r="J274" s="17" t="n">
        <v>906.4</v>
      </c>
      <c r="K274" s="6" t="s">
        <f>=Портфель!F38*Портфель!G38/100*Портфель!$Q$13+Портфель!H38*Портфель!$Q$13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36" t="n">
        <v>45303</v>
      </c>
      <c r="B275" s="16" t="s">
        <v>1375</v>
      </c>
      <c r="C275" s="16" t="s">
        <v>118</v>
      </c>
      <c r="D275" s="16" t="s">
        <v>119</v>
      </c>
      <c r="E275" s="17" t="n">
        <v>2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775</v>
      </c>
      <c r="J275" s="17" t="n">
        <v>886.795</v>
      </c>
      <c r="K275" s="6" t="s">
        <f>=Портфель!F39*Портфель!G39/100*Портфель!$Q$13+Портфель!H39*Портфель!$Q$13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36" t="n">
        <v>45351</v>
      </c>
      <c r="B276" s="16" t="s">
        <v>1375</v>
      </c>
      <c r="C276" s="16" t="s">
        <v>118</v>
      </c>
      <c r="D276" s="16" t="s">
        <v>119</v>
      </c>
      <c r="E276" s="17" t="n">
        <v>1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727</v>
      </c>
      <c r="J276" s="17" t="n">
        <v>888.26</v>
      </c>
      <c r="K276" s="6" t="s">
        <f>=Портфель!F39*Портфель!G39/100*Портфель!$Q$13+Портфель!H39*Портфель!$Q$13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36" t="n">
        <v>45356</v>
      </c>
      <c r="B277" s="16" t="s">
        <v>1375</v>
      </c>
      <c r="C277" s="16" t="s">
        <v>118</v>
      </c>
      <c r="D277" s="16" t="s">
        <v>119</v>
      </c>
      <c r="E277" s="17" t="n">
        <v>1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722</v>
      </c>
      <c r="J277" s="17" t="n">
        <v>882.57</v>
      </c>
      <c r="K277" s="6" t="s">
        <f>=Портфель!F39*Портфель!G39/100*Портфель!$Q$13+Портфель!H39*Портфель!$Q$13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36" t="n">
        <v>45387</v>
      </c>
      <c r="B278" s="16" t="s">
        <v>1375</v>
      </c>
      <c r="C278" s="16" t="s">
        <v>118</v>
      </c>
      <c r="D278" s="16" t="s">
        <v>119</v>
      </c>
      <c r="E278" s="17" t="n">
        <v>1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691</v>
      </c>
      <c r="J278" s="17" t="n">
        <v>852.04</v>
      </c>
      <c r="K278" s="6" t="s">
        <f>=Портфель!F39*Портфель!G39/100*Портфель!$Q$13+Портфель!H39*Портфель!$Q$13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36" t="n">
        <v>45387</v>
      </c>
      <c r="B279" s="16" t="s">
        <v>1375</v>
      </c>
      <c r="C279" s="16" t="s">
        <v>118</v>
      </c>
      <c r="D279" s="16" t="s">
        <v>119</v>
      </c>
      <c r="E279" s="17" t="n">
        <v>1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691</v>
      </c>
      <c r="J279" s="17" t="n">
        <v>851.49</v>
      </c>
      <c r="K279" s="6" t="s">
        <f>=Портфель!F39*Портфель!G39/100*Портфель!$Q$13+Портфель!H39*Портфель!$Q$13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36" t="n">
        <v>45506</v>
      </c>
      <c r="B280" s="16" t="s">
        <v>1375</v>
      </c>
      <c r="C280" s="16" t="s">
        <v>118</v>
      </c>
      <c r="D280" s="16" t="s">
        <v>119</v>
      </c>
      <c r="E280" s="17" t="n">
        <v>1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572</v>
      </c>
      <c r="J280" s="17" t="n">
        <v>757.91</v>
      </c>
      <c r="K280" s="6" t="s">
        <f>=Портфель!F39*Портфель!G39/100*Портфель!$Q$13+Портфель!H39*Портфель!$Q$13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36" t="n">
        <v>45566</v>
      </c>
      <c r="B281" s="16" t="s">
        <v>1375</v>
      </c>
      <c r="C281" s="16" t="s">
        <v>118</v>
      </c>
      <c r="D281" s="16" t="s">
        <v>119</v>
      </c>
      <c r="E281" s="17" t="n">
        <v>1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512</v>
      </c>
      <c r="J281" s="17" t="n">
        <v>731.87</v>
      </c>
      <c r="K281" s="6" t="s">
        <f>=Портфель!F39*Портфель!G39/100*Портфель!$Q$13+Портфель!H39*Портфель!$Q$13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36" t="n">
        <v>45566</v>
      </c>
      <c r="B282" s="16" t="s">
        <v>1375</v>
      </c>
      <c r="C282" s="16" t="s">
        <v>118</v>
      </c>
      <c r="D282" s="16" t="s">
        <v>119</v>
      </c>
      <c r="E282" s="17" t="n">
        <v>1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512</v>
      </c>
      <c r="J282" s="17" t="n">
        <v>732.37</v>
      </c>
      <c r="K282" s="6" t="s">
        <f>=Портфель!F39*Портфель!G39/100*Портфель!$Q$13+Портфель!H39*Портфель!$Q$13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36" t="n">
        <v>45702</v>
      </c>
      <c r="B283" s="16" t="s">
        <v>1375</v>
      </c>
      <c r="C283" s="16" t="s">
        <v>118</v>
      </c>
      <c r="D283" s="16" t="s">
        <v>119</v>
      </c>
      <c r="E283" s="17" t="n">
        <v>1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376</v>
      </c>
      <c r="J283" s="17" t="n">
        <v>778.45</v>
      </c>
      <c r="K283" s="6" t="s">
        <f>=Портфель!F39*Портфель!G39/100*Портфель!$Q$13+Портфель!H39*Портфель!$Q$13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36" t="n">
        <v>45959</v>
      </c>
      <c r="B284" s="16" t="s">
        <v>1375</v>
      </c>
      <c r="C284" s="16" t="s">
        <v>118</v>
      </c>
      <c r="D284" s="16" t="s">
        <v>119</v>
      </c>
      <c r="E284" s="17" t="n">
        <v>1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119</v>
      </c>
      <c r="J284" s="17" t="n">
        <v>820.59</v>
      </c>
      <c r="K284" s="6" t="s">
        <f>=Портфель!F39*Портфель!G39/100*Портфель!$Q$13+Портфель!H39*Портфель!$Q$13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36" t="n">
        <v>45959</v>
      </c>
      <c r="B285" s="16" t="s">
        <v>1375</v>
      </c>
      <c r="C285" s="16" t="s">
        <v>118</v>
      </c>
      <c r="D285" s="16" t="s">
        <v>119</v>
      </c>
      <c r="E285" s="17" t="n">
        <v>1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119</v>
      </c>
      <c r="J285" s="17" t="n">
        <v>820.6</v>
      </c>
      <c r="K285" s="6" t="s">
        <f>=Портфель!F39*Портфель!G39/100*Портфель!$Q$13+Портфель!H39*Портфель!$Q$13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36" t="n">
        <v>46027</v>
      </c>
      <c r="B286" s="16" t="s">
        <v>1375</v>
      </c>
      <c r="C286" s="16" t="s">
        <v>118</v>
      </c>
      <c r="D286" s="16" t="s">
        <v>119</v>
      </c>
      <c r="E286" s="17" t="n">
        <v>1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51</v>
      </c>
      <c r="J286" s="17" t="n">
        <v>817.64</v>
      </c>
      <c r="K286" s="6" t="s">
        <f>=Портфель!F39*Портфель!G39/100*Портфель!$Q$13+Портфель!H39*Портфель!$Q$13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36" t="n">
        <v>46027</v>
      </c>
      <c r="B287" s="16" t="s">
        <v>1375</v>
      </c>
      <c r="C287" s="16" t="s">
        <v>118</v>
      </c>
      <c r="D287" s="16" t="s">
        <v>119</v>
      </c>
      <c r="E287" s="17" t="n">
        <v>1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51</v>
      </c>
      <c r="J287" s="17" t="n">
        <v>817.65</v>
      </c>
      <c r="K287" s="6" t="s">
        <f>=Портфель!F39*Портфель!G39/100*Портфель!$Q$13+Портфель!H39*Портфель!$Q$13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36" t="n">
        <v>45702</v>
      </c>
      <c r="B288" s="16" t="s">
        <v>1375</v>
      </c>
      <c r="C288" s="16" t="s">
        <v>121</v>
      </c>
      <c r="D288" s="16" t="s">
        <v>122</v>
      </c>
      <c r="E288" s="17" t="n">
        <v>1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376</v>
      </c>
      <c r="J288" s="17" t="n">
        <v>887.6</v>
      </c>
      <c r="K288" s="6" t="s">
        <f>=Портфель!F40*Портфель!G40/100*Портфель!$Q$13+Портфель!H40*Портфель!$Q$13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36" t="n">
        <v>45714</v>
      </c>
      <c r="B289" s="16" t="s">
        <v>1375</v>
      </c>
      <c r="C289" s="16" t="s">
        <v>121</v>
      </c>
      <c r="D289" s="16" t="s">
        <v>122</v>
      </c>
      <c r="E289" s="17" t="n">
        <v>1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364</v>
      </c>
      <c r="J289" s="17" t="n">
        <v>855.98</v>
      </c>
      <c r="K289" s="6" t="s">
        <f>=Портфель!F40*Портфель!G40/100*Портфель!$Q$13+Портфель!H40*Портфель!$Q$13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36" t="n">
        <v>45714</v>
      </c>
      <c r="B290" s="16" t="s">
        <v>1375</v>
      </c>
      <c r="C290" s="16" t="s">
        <v>121</v>
      </c>
      <c r="D290" s="16" t="s">
        <v>122</v>
      </c>
      <c r="E290" s="17" t="n">
        <v>1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364</v>
      </c>
      <c r="J290" s="17" t="n">
        <v>855.98</v>
      </c>
      <c r="K290" s="6" t="s">
        <f>=Портфель!F40*Портфель!G40/100*Портфель!$Q$13+Портфель!H40*Портфель!$Q$13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36" t="n">
        <v>45776</v>
      </c>
      <c r="B291" s="16" t="s">
        <v>1375</v>
      </c>
      <c r="C291" s="16" t="s">
        <v>121</v>
      </c>
      <c r="D291" s="16" t="s">
        <v>122</v>
      </c>
      <c r="E291" s="17" t="n">
        <v>1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302</v>
      </c>
      <c r="J291" s="17" t="n">
        <v>834.81</v>
      </c>
      <c r="K291" s="6" t="s">
        <f>=Портфель!F40*Портфель!G40/100*Портфель!$Q$13+Портфель!H40*Портфель!$Q$13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36" t="n">
        <v>45869</v>
      </c>
      <c r="B292" s="16" t="s">
        <v>1375</v>
      </c>
      <c r="C292" s="16" t="s">
        <v>121</v>
      </c>
      <c r="D292" s="16" t="s">
        <v>122</v>
      </c>
      <c r="E292" s="17" t="n">
        <v>1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209</v>
      </c>
      <c r="J292" s="17" t="n">
        <v>937.83</v>
      </c>
      <c r="K292" s="6" t="s">
        <f>=Портфель!F40*Портфель!G40/100*Портфель!$Q$13+Портфель!H40*Портфель!$Q$13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36" t="n">
        <v>45869</v>
      </c>
      <c r="B293" s="16" t="s">
        <v>1375</v>
      </c>
      <c r="C293" s="16" t="s">
        <v>121</v>
      </c>
      <c r="D293" s="16" t="s">
        <v>122</v>
      </c>
      <c r="E293" s="17" t="n">
        <v>1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209</v>
      </c>
      <c r="J293" s="17" t="n">
        <v>937.83</v>
      </c>
      <c r="K293" s="6" t="s">
        <f>=Портфель!F40*Портфель!G40/100*Портфель!$Q$13+Портфель!H40*Портфель!$Q$13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36" t="n">
        <v>45876</v>
      </c>
      <c r="B294" s="16" t="s">
        <v>1375</v>
      </c>
      <c r="C294" s="16" t="s">
        <v>121</v>
      </c>
      <c r="D294" s="16" t="s">
        <v>122</v>
      </c>
      <c r="E294" s="17" t="n">
        <v>1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202</v>
      </c>
      <c r="J294" s="17" t="n">
        <v>945.94</v>
      </c>
      <c r="K294" s="6" t="s">
        <f>=Портфель!F40*Портфель!G40/100*Портфель!$Q$13+Портфель!H40*Портфель!$Q$13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36" t="n">
        <v>45876</v>
      </c>
      <c r="B295" s="16" t="s">
        <v>1375</v>
      </c>
      <c r="C295" s="16" t="s">
        <v>121</v>
      </c>
      <c r="D295" s="16" t="s">
        <v>122</v>
      </c>
      <c r="E295" s="17" t="n">
        <v>1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202</v>
      </c>
      <c r="J295" s="17" t="n">
        <v>945.73</v>
      </c>
      <c r="K295" s="6" t="s">
        <f>=Портфель!F40*Портфель!G40/100*Портфель!$Q$13+Портфель!H40*Портфель!$Q$13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36" t="n">
        <v>45901</v>
      </c>
      <c r="B296" s="16" t="s">
        <v>1375</v>
      </c>
      <c r="C296" s="16" t="s">
        <v>121</v>
      </c>
      <c r="D296" s="16" t="s">
        <v>122</v>
      </c>
      <c r="E296" s="17" t="n">
        <v>1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177</v>
      </c>
      <c r="J296" s="17" t="n">
        <v>959.81</v>
      </c>
      <c r="K296" s="6" t="s">
        <f>=Портфель!F40*Портфель!G40/100*Портфель!$Q$13+Портфель!H40*Портфель!$Q$13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36" t="n">
        <v>45931</v>
      </c>
      <c r="B297" s="16" t="s">
        <v>1375</v>
      </c>
      <c r="C297" s="16" t="s">
        <v>121</v>
      </c>
      <c r="D297" s="16" t="s">
        <v>122</v>
      </c>
      <c r="E297" s="17" t="n">
        <v>1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147</v>
      </c>
      <c r="J297" s="17" t="n">
        <v>929.07</v>
      </c>
      <c r="K297" s="6" t="s">
        <f>=Портфель!F40*Портфель!G40/100*Портфель!$Q$13+Портфель!H40*Портфель!$Q$13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36" t="n">
        <v>46027</v>
      </c>
      <c r="B298" s="16" t="s">
        <v>1375</v>
      </c>
      <c r="C298" s="16" t="s">
        <v>121</v>
      </c>
      <c r="D298" s="16" t="s">
        <v>122</v>
      </c>
      <c r="E298" s="17" t="n">
        <v>1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51</v>
      </c>
      <c r="J298" s="17" t="n">
        <v>914.74</v>
      </c>
      <c r="K298" s="6" t="s">
        <f>=Портфель!F40*Портфель!G40/100*Портфель!$Q$13+Портфель!H40*Портфель!$Q$13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36" t="n">
        <v>46027</v>
      </c>
      <c r="B299" s="16" t="s">
        <v>1375</v>
      </c>
      <c r="C299" s="16" t="s">
        <v>121</v>
      </c>
      <c r="D299" s="16" t="s">
        <v>122</v>
      </c>
      <c r="E299" s="17" t="n">
        <v>1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51</v>
      </c>
      <c r="J299" s="17" t="n">
        <v>914.74</v>
      </c>
      <c r="K299" s="6" t="s">
        <f>=Портфель!F40*Портфель!G40/100*Портфель!$Q$13+Портфель!H40*Портфель!$Q$13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36" t="n">
        <v>45061</v>
      </c>
      <c r="B300" s="16" t="s">
        <v>1375</v>
      </c>
      <c r="C300" s="16" t="s">
        <v>124</v>
      </c>
      <c r="D300" s="16" t="s">
        <v>125</v>
      </c>
      <c r="E300" s="17" t="n">
        <v>1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1017</v>
      </c>
      <c r="J300" s="17" t="n">
        <v>897.96</v>
      </c>
      <c r="K300" s="6" t="s">
        <f>=Портфель!F41*Портфель!G41/100*Портфель!$Q$13+Портфель!H41*Портфель!$Q$13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36" t="n">
        <v>45061</v>
      </c>
      <c r="B301" s="16" t="s">
        <v>1375</v>
      </c>
      <c r="C301" s="16" t="s">
        <v>124</v>
      </c>
      <c r="D301" s="16" t="s">
        <v>125</v>
      </c>
      <c r="E301" s="17" t="n">
        <v>1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1017</v>
      </c>
      <c r="J301" s="17" t="n">
        <v>897.96</v>
      </c>
      <c r="K301" s="6" t="s">
        <f>=Портфель!F41*Портфель!G41/100*Портфель!$Q$13+Портфель!H41*Портфель!$Q$13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36" t="n">
        <v>45240</v>
      </c>
      <c r="B302" s="16" t="s">
        <v>1375</v>
      </c>
      <c r="C302" s="16" t="s">
        <v>124</v>
      </c>
      <c r="D302" s="16" t="s">
        <v>125</v>
      </c>
      <c r="E302" s="17" t="n">
        <v>1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838</v>
      </c>
      <c r="J302" s="17" t="n">
        <v>843.84</v>
      </c>
      <c r="K302" s="6" t="s">
        <f>=Портфель!F41*Портфель!G41/100*Портфель!$Q$13+Портфель!H41*Портфель!$Q$13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36" t="n">
        <v>45351</v>
      </c>
      <c r="B303" s="16" t="s">
        <v>1375</v>
      </c>
      <c r="C303" s="16" t="s">
        <v>124</v>
      </c>
      <c r="D303" s="16" t="s">
        <v>125</v>
      </c>
      <c r="E303" s="17" t="n">
        <v>1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727</v>
      </c>
      <c r="J303" s="17" t="n">
        <v>844.62</v>
      </c>
      <c r="K303" s="6" t="s">
        <f>=Портфель!F41*Портфель!G41/100*Портфель!$Q$13+Портфель!H41*Портфель!$Q$13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36" t="n">
        <v>45356</v>
      </c>
      <c r="B304" s="16" t="s">
        <v>1375</v>
      </c>
      <c r="C304" s="16" t="s">
        <v>124</v>
      </c>
      <c r="D304" s="16" t="s">
        <v>125</v>
      </c>
      <c r="E304" s="17" t="n">
        <v>1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722</v>
      </c>
      <c r="J304" s="17" t="n">
        <v>840.66</v>
      </c>
      <c r="K304" s="6" t="s">
        <f>=Портфель!F41*Портфель!G41/100*Портфель!$Q$13+Портфель!H41*Портфель!$Q$13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36" t="n">
        <v>45447</v>
      </c>
      <c r="B305" s="16" t="s">
        <v>1375</v>
      </c>
      <c r="C305" s="16" t="s">
        <v>124</v>
      </c>
      <c r="D305" s="16" t="s">
        <v>125</v>
      </c>
      <c r="E305" s="17" t="n">
        <v>1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631</v>
      </c>
      <c r="J305" s="17" t="n">
        <v>743.9</v>
      </c>
      <c r="K305" s="6" t="s">
        <f>=Портфель!F41*Портфель!G41/100*Портфель!$Q$13+Портфель!H41*Портфель!$Q$13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36" t="n">
        <v>45447</v>
      </c>
      <c r="B306" s="16" t="s">
        <v>1375</v>
      </c>
      <c r="C306" s="16" t="s">
        <v>124</v>
      </c>
      <c r="D306" s="16" t="s">
        <v>125</v>
      </c>
      <c r="E306" s="17" t="n">
        <v>1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631</v>
      </c>
      <c r="J306" s="17" t="n">
        <v>743.88</v>
      </c>
      <c r="K306" s="6" t="s">
        <f>=Портфель!F41*Портфель!G41/100*Портфель!$Q$13+Портфель!H41*Портфель!$Q$13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36" t="n">
        <v>45506</v>
      </c>
      <c r="B307" s="16" t="s">
        <v>1375</v>
      </c>
      <c r="C307" s="16" t="s">
        <v>124</v>
      </c>
      <c r="D307" s="16" t="s">
        <v>125</v>
      </c>
      <c r="E307" s="17" t="n">
        <v>1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572</v>
      </c>
      <c r="J307" s="17" t="n">
        <v>736.18</v>
      </c>
      <c r="K307" s="6" t="s">
        <f>=Портфель!F41*Портфель!G41/100*Портфель!$Q$13+Портфель!H41*Портфель!$Q$13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36" t="n">
        <v>45566</v>
      </c>
      <c r="B308" s="16" t="s">
        <v>1375</v>
      </c>
      <c r="C308" s="16" t="s">
        <v>124</v>
      </c>
      <c r="D308" s="16" t="s">
        <v>125</v>
      </c>
      <c r="E308" s="17" t="n">
        <v>1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512</v>
      </c>
      <c r="J308" s="17" t="n">
        <v>716.79</v>
      </c>
      <c r="K308" s="6" t="s">
        <f>=Портфель!F41*Портфель!G41/100*Портфель!$Q$13+Портфель!H41*Портфель!$Q$13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36" t="n">
        <v>45566</v>
      </c>
      <c r="B309" s="16" t="s">
        <v>1375</v>
      </c>
      <c r="C309" s="16" t="s">
        <v>124</v>
      </c>
      <c r="D309" s="16" t="s">
        <v>125</v>
      </c>
      <c r="E309" s="17" t="n">
        <v>1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512</v>
      </c>
      <c r="J309" s="17" t="n">
        <v>717.66</v>
      </c>
      <c r="K309" s="6" t="s">
        <f>=Портфель!F41*Портфель!G41/100*Портфель!$Q$13+Портфель!H41*Портфель!$Q$13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36" t="n">
        <v>45702</v>
      </c>
      <c r="B310" s="16" t="s">
        <v>1375</v>
      </c>
      <c r="C310" s="16" t="s">
        <v>124</v>
      </c>
      <c r="D310" s="16" t="s">
        <v>125</v>
      </c>
      <c r="E310" s="17" t="n">
        <v>1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376</v>
      </c>
      <c r="J310" s="17" t="n">
        <v>772.95</v>
      </c>
      <c r="K310" s="6" t="s">
        <f>=Портфель!F41*Портфель!G41/100*Портфель!$Q$13+Портфель!H41*Портфель!$Q$13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36" t="n">
        <v>45714</v>
      </c>
      <c r="B311" s="16" t="s">
        <v>1375</v>
      </c>
      <c r="C311" s="16" t="s">
        <v>124</v>
      </c>
      <c r="D311" s="16" t="s">
        <v>125</v>
      </c>
      <c r="E311" s="17" t="n">
        <v>1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364</v>
      </c>
      <c r="J311" s="17" t="n">
        <v>759.68</v>
      </c>
      <c r="K311" s="6" t="s">
        <f>=Портфель!F41*Портфель!G41/100*Портфель!$Q$13+Портфель!H41*Портфель!$Q$13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36" t="n">
        <v>45714</v>
      </c>
      <c r="B312" s="16" t="s">
        <v>1375</v>
      </c>
      <c r="C312" s="16" t="s">
        <v>124</v>
      </c>
      <c r="D312" s="16" t="s">
        <v>125</v>
      </c>
      <c r="E312" s="17" t="n">
        <v>1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364</v>
      </c>
      <c r="J312" s="17" t="n">
        <v>759.68</v>
      </c>
      <c r="K312" s="6" t="s">
        <f>=Портфель!F41*Портфель!G41/100*Портфель!$Q$13+Портфель!H41*Портфель!$Q$13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36" t="n">
        <v>44868</v>
      </c>
      <c r="B313" s="16" t="s">
        <v>1375</v>
      </c>
      <c r="C313" s="16" t="s">
        <v>127</v>
      </c>
      <c r="D313" s="16" t="s">
        <v>128</v>
      </c>
      <c r="E313" s="17" t="n">
        <v>1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1210</v>
      </c>
      <c r="J313" s="17" t="n">
        <v>870.54</v>
      </c>
      <c r="K313" s="6" t="s">
        <f>=Портфель!F42*Портфель!G42/100*Портфель!$Q$13+Портфель!H42*Портфель!$Q$13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36" t="n">
        <v>45240</v>
      </c>
      <c r="B314" s="16" t="s">
        <v>1375</v>
      </c>
      <c r="C314" s="16" t="s">
        <v>127</v>
      </c>
      <c r="D314" s="16" t="s">
        <v>128</v>
      </c>
      <c r="E314" s="17" t="n">
        <v>1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838</v>
      </c>
      <c r="J314" s="17" t="n">
        <v>805.83</v>
      </c>
      <c r="K314" s="6" t="s">
        <f>=Портфель!F42*Портфель!G42/100*Портфель!$Q$13+Портфель!H42*Портфель!$Q$13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36" t="n">
        <v>45387</v>
      </c>
      <c r="B315" s="16" t="s">
        <v>1375</v>
      </c>
      <c r="C315" s="16" t="s">
        <v>127</v>
      </c>
      <c r="D315" s="16" t="s">
        <v>128</v>
      </c>
      <c r="E315" s="17" t="n">
        <v>1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691</v>
      </c>
      <c r="J315" s="17" t="n">
        <v>724.94</v>
      </c>
      <c r="K315" s="6" t="s">
        <f>=Портфель!F42*Портфель!G42/100*Портфель!$Q$13+Портфель!H42*Портфель!$Q$13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36" t="n">
        <v>45387</v>
      </c>
      <c r="B316" s="16" t="s">
        <v>1375</v>
      </c>
      <c r="C316" s="16" t="s">
        <v>127</v>
      </c>
      <c r="D316" s="16" t="s">
        <v>128</v>
      </c>
      <c r="E316" s="17" t="n">
        <v>1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691</v>
      </c>
      <c r="J316" s="17" t="n">
        <v>724.95</v>
      </c>
      <c r="K316" s="6" t="s">
        <f>=Портфель!F42*Портфель!G42/100*Портфель!$Q$13+Портфель!H42*Портфель!$Q$13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36" t="n">
        <v>45447</v>
      </c>
      <c r="B317" s="16" t="s">
        <v>1375</v>
      </c>
      <c r="C317" s="16" t="s">
        <v>127</v>
      </c>
      <c r="D317" s="16" t="s">
        <v>128</v>
      </c>
      <c r="E317" s="17" t="n">
        <v>1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631</v>
      </c>
      <c r="J317" s="17" t="n">
        <v>690.86</v>
      </c>
      <c r="K317" s="6" t="s">
        <f>=Портфель!F42*Портфель!G42/100*Портфель!$Q$13+Портфель!H42*Портфель!$Q$13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36" t="n">
        <v>45506</v>
      </c>
      <c r="B318" s="16" t="s">
        <v>1375</v>
      </c>
      <c r="C318" s="16" t="s">
        <v>127</v>
      </c>
      <c r="D318" s="16" t="s">
        <v>128</v>
      </c>
      <c r="E318" s="17" t="n">
        <v>1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572</v>
      </c>
      <c r="J318" s="17" t="n">
        <v>687.35</v>
      </c>
      <c r="K318" s="6" t="s">
        <f>=Портфель!F42*Портфель!G42/100*Портфель!$Q$13+Портфель!H42*Портфель!$Q$13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36" t="n">
        <v>45566</v>
      </c>
      <c r="B319" s="16" t="s">
        <v>1375</v>
      </c>
      <c r="C319" s="16" t="s">
        <v>127</v>
      </c>
      <c r="D319" s="16" t="s">
        <v>128</v>
      </c>
      <c r="E319" s="17" t="n">
        <v>1</v>
      </c>
      <c r="F319" s="7" t="s">
        <f>=DATEDIF(A319,$O$2,"y")</f>
      </c>
      <c r="G319" s="7" t="s">
        <f>=DATEDIF(A319,$O$2,"ym")</f>
      </c>
      <c r="H319" s="7" t="s">
        <f>=DATEDIF(A319,$O$2,"md")</f>
      </c>
      <c r="I319" s="7" t="n">
        <v>512</v>
      </c>
      <c r="J319" s="17" t="n">
        <v>625.06</v>
      </c>
      <c r="K319" s="6" t="s">
        <f>=Портфель!F42*Портфель!G42/100*Портфель!$Q$13+Портфель!H42*Портфель!$Q$13</f>
      </c>
      <c r="L319" s="6" t="s">
        <f>=E319*K319</f>
      </c>
      <c r="M319" s="6" t="s">
        <f>=(K319-J319)*E319</f>
      </c>
      <c r="N319" s="6" t="s">
        <f>=MAX(0,M319*0.13)</f>
      </c>
    </row>
    <row collapsed="false" customFormat="false" customHeight="false" hidden="false" ht="12.1" outlineLevel="0" r="320">
      <c r="A320" s="36" t="n">
        <v>45702</v>
      </c>
      <c r="B320" s="16" t="s">
        <v>1375</v>
      </c>
      <c r="C320" s="16" t="s">
        <v>127</v>
      </c>
      <c r="D320" s="16" t="s">
        <v>128</v>
      </c>
      <c r="E320" s="17" t="n">
        <v>1</v>
      </c>
      <c r="F320" s="7" t="s">
        <f>=DATEDIF(A320,$O$2,"y")</f>
      </c>
      <c r="G320" s="7" t="s">
        <f>=DATEDIF(A320,$O$2,"ym")</f>
      </c>
      <c r="H320" s="7" t="s">
        <f>=DATEDIF(A320,$O$2,"md")</f>
      </c>
      <c r="I320" s="7" t="n">
        <v>376</v>
      </c>
      <c r="J320" s="17" t="n">
        <v>693.52</v>
      </c>
      <c r="K320" s="6" t="s">
        <f>=Портфель!F42*Портфель!G42/100*Портфель!$Q$13+Портфель!H42*Портфель!$Q$13</f>
      </c>
      <c r="L320" s="6" t="s">
        <f>=E320*K320</f>
      </c>
      <c r="M320" s="6" t="s">
        <f>=(K320-J320)*E320</f>
      </c>
      <c r="N320" s="6" t="s">
        <f>=MAX(0,M320*0.13)</f>
      </c>
    </row>
    <row collapsed="false" customFormat="false" customHeight="false" hidden="false" ht="12.1" outlineLevel="0" r="321">
      <c r="A321" s="36" t="n">
        <v>45702</v>
      </c>
      <c r="B321" s="16" t="s">
        <v>1375</v>
      </c>
      <c r="C321" s="16" t="s">
        <v>127</v>
      </c>
      <c r="D321" s="16" t="s">
        <v>128</v>
      </c>
      <c r="E321" s="17" t="n">
        <v>1</v>
      </c>
      <c r="F321" s="7" t="s">
        <f>=DATEDIF(A321,$O$2,"y")</f>
      </c>
      <c r="G321" s="7" t="s">
        <f>=DATEDIF(A321,$O$2,"ym")</f>
      </c>
      <c r="H321" s="7" t="s">
        <f>=DATEDIF(A321,$O$2,"md")</f>
      </c>
      <c r="I321" s="7" t="n">
        <v>376</v>
      </c>
      <c r="J321" s="17" t="n">
        <v>695.04</v>
      </c>
      <c r="K321" s="6" t="s">
        <f>=Портфель!F42*Портфель!G42/100*Портфель!$Q$13+Портфель!H42*Портфель!$Q$13</f>
      </c>
      <c r="L321" s="6" t="s">
        <f>=E321*K321</f>
      </c>
      <c r="M321" s="6" t="s">
        <f>=(K321-J321)*E321</f>
      </c>
      <c r="N321" s="6" t="s">
        <f>=MAX(0,M321*0.13)</f>
      </c>
    </row>
    <row collapsed="false" customFormat="false" customHeight="false" hidden="false" ht="12.1" outlineLevel="0" r="322">
      <c r="A322" s="36" t="n">
        <v>45776</v>
      </c>
      <c r="B322" s="16" t="s">
        <v>1375</v>
      </c>
      <c r="C322" s="16" t="s">
        <v>127</v>
      </c>
      <c r="D322" s="16" t="s">
        <v>128</v>
      </c>
      <c r="E322" s="17" t="n">
        <v>1</v>
      </c>
      <c r="F322" s="7" t="s">
        <f>=DATEDIF(A322,$O$2,"y")</f>
      </c>
      <c r="G322" s="7" t="s">
        <f>=DATEDIF(A322,$O$2,"ym")</f>
      </c>
      <c r="H322" s="7" t="s">
        <f>=DATEDIF(A322,$O$2,"md")</f>
      </c>
      <c r="I322" s="7" t="n">
        <v>302</v>
      </c>
      <c r="J322" s="17" t="n">
        <v>667.6</v>
      </c>
      <c r="K322" s="6" t="s">
        <f>=Портфель!F42*Портфель!G42/100*Портфель!$Q$13+Портфель!H42*Портфель!$Q$13</f>
      </c>
      <c r="L322" s="6" t="s">
        <f>=E322*K322</f>
      </c>
      <c r="M322" s="6" t="s">
        <f>=(K322-J322)*E322</f>
      </c>
      <c r="N322" s="6" t="s">
        <f>=MAX(0,M322*0.13)</f>
      </c>
    </row>
    <row collapsed="false" customFormat="false" customHeight="false" hidden="false" ht="12.1" outlineLevel="0" r="323">
      <c r="A323" s="36" t="n">
        <v>45869</v>
      </c>
      <c r="B323" s="16" t="s">
        <v>1375</v>
      </c>
      <c r="C323" s="16" t="s">
        <v>127</v>
      </c>
      <c r="D323" s="16" t="s">
        <v>128</v>
      </c>
      <c r="E323" s="17" t="n">
        <v>1</v>
      </c>
      <c r="F323" s="7" t="s">
        <f>=DATEDIF(A323,$O$2,"y")</f>
      </c>
      <c r="G323" s="7" t="s">
        <f>=DATEDIF(A323,$O$2,"ym")</f>
      </c>
      <c r="H323" s="7" t="s">
        <f>=DATEDIF(A323,$O$2,"md")</f>
      </c>
      <c r="I323" s="7" t="n">
        <v>209</v>
      </c>
      <c r="J323" s="17" t="n">
        <v>756.8</v>
      </c>
      <c r="K323" s="6" t="s">
        <f>=Портфель!F42*Портфель!G42/100*Портфель!$Q$13+Портфель!H42*Портфель!$Q$13</f>
      </c>
      <c r="L323" s="6" t="s">
        <f>=E323*K323</f>
      </c>
      <c r="M323" s="6" t="s">
        <f>=(K323-J323)*E323</f>
      </c>
      <c r="N323" s="6" t="s">
        <f>=MAX(0,M323*0.13)</f>
      </c>
    </row>
    <row collapsed="false" customFormat="false" customHeight="false" hidden="false" ht="12.1" outlineLevel="0" r="324">
      <c r="A324" s="36" t="n">
        <v>45876</v>
      </c>
      <c r="B324" s="16" t="s">
        <v>1375</v>
      </c>
      <c r="C324" s="16" t="s">
        <v>127</v>
      </c>
      <c r="D324" s="16" t="s">
        <v>128</v>
      </c>
      <c r="E324" s="17" t="n">
        <v>1</v>
      </c>
      <c r="F324" s="7" t="s">
        <f>=DATEDIF(A324,$O$2,"y")</f>
      </c>
      <c r="G324" s="7" t="s">
        <f>=DATEDIF(A324,$O$2,"ym")</f>
      </c>
      <c r="H324" s="7" t="s">
        <f>=DATEDIF(A324,$O$2,"md")</f>
      </c>
      <c r="I324" s="7" t="n">
        <v>202</v>
      </c>
      <c r="J324" s="17" t="n">
        <v>760.66</v>
      </c>
      <c r="K324" s="6" t="s">
        <f>=Портфель!F42*Портфель!G42/100*Портфель!$Q$13+Портфель!H42*Портфель!$Q$13</f>
      </c>
      <c r="L324" s="6" t="s">
        <f>=E324*K324</f>
      </c>
      <c r="M324" s="6" t="s">
        <f>=(K324-J324)*E324</f>
      </c>
      <c r="N324" s="6" t="s">
        <f>=MAX(0,M324*0.13)</f>
      </c>
    </row>
    <row collapsed="false" customFormat="false" customHeight="false" hidden="false" ht="12.1" outlineLevel="0" r="325">
      <c r="A325" s="36" t="n">
        <v>45931</v>
      </c>
      <c r="B325" s="16" t="s">
        <v>1375</v>
      </c>
      <c r="C325" s="16" t="s">
        <v>127</v>
      </c>
      <c r="D325" s="16" t="s">
        <v>128</v>
      </c>
      <c r="E325" s="17" t="n">
        <v>1</v>
      </c>
      <c r="F325" s="7" t="s">
        <f>=DATEDIF(A325,$O$2,"y")</f>
      </c>
      <c r="G325" s="7" t="s">
        <f>=DATEDIF(A325,$O$2,"ym")</f>
      </c>
      <c r="H325" s="7" t="s">
        <f>=DATEDIF(A325,$O$2,"md")</f>
      </c>
      <c r="I325" s="7" t="n">
        <v>147</v>
      </c>
      <c r="J325" s="17" t="n">
        <v>697.99</v>
      </c>
      <c r="K325" s="6" t="s">
        <f>=Портфель!F42*Портфель!G42/100*Портфель!$Q$13+Портфель!H42*Портфель!$Q$13</f>
      </c>
      <c r="L325" s="6" t="s">
        <f>=E325*K325</f>
      </c>
      <c r="M325" s="6" t="s">
        <f>=(K325-J325)*E325</f>
      </c>
      <c r="N325" s="6" t="s">
        <f>=MAX(0,M325*0.13)</f>
      </c>
    </row>
    <row collapsed="false" customFormat="false" customHeight="false" hidden="false" ht="12.1" outlineLevel="0" r="326">
      <c r="A326" s="36" t="n">
        <v>45959</v>
      </c>
      <c r="B326" s="16" t="s">
        <v>1375</v>
      </c>
      <c r="C326" s="16" t="s">
        <v>127</v>
      </c>
      <c r="D326" s="16" t="s">
        <v>128</v>
      </c>
      <c r="E326" s="17" t="n">
        <v>1</v>
      </c>
      <c r="F326" s="7" t="s">
        <f>=DATEDIF(A326,$O$2,"y")</f>
      </c>
      <c r="G326" s="7" t="s">
        <f>=DATEDIF(A326,$O$2,"ym")</f>
      </c>
      <c r="H326" s="7" t="s">
        <f>=DATEDIF(A326,$O$2,"md")</f>
      </c>
      <c r="I326" s="7" t="n">
        <v>119</v>
      </c>
      <c r="J326" s="17" t="n">
        <v>700.58</v>
      </c>
      <c r="K326" s="6" t="s">
        <f>=Портфель!F42*Портфель!G42/100*Портфель!$Q$13+Портфель!H42*Портфель!$Q$13</f>
      </c>
      <c r="L326" s="6" t="s">
        <f>=E326*K326</f>
      </c>
      <c r="M326" s="6" t="s">
        <f>=(K326-J326)*E326</f>
      </c>
      <c r="N326" s="6" t="s">
        <f>=MAX(0,M326*0.13)</f>
      </c>
    </row>
    <row collapsed="false" customFormat="false" customHeight="false" hidden="false" ht="12.1" outlineLevel="0" r="327">
      <c r="A327" s="36" t="n">
        <v>45303</v>
      </c>
      <c r="B327" s="16" t="s">
        <v>1375</v>
      </c>
      <c r="C327" s="16" t="s">
        <v>130</v>
      </c>
      <c r="D327" s="16" t="s">
        <v>131</v>
      </c>
      <c r="E327" s="17" t="n">
        <v>2</v>
      </c>
      <c r="F327" s="7" t="s">
        <f>=DATEDIF(A327,$O$2,"y")</f>
      </c>
      <c r="G327" s="7" t="s">
        <f>=DATEDIF(A327,$O$2,"ym")</f>
      </c>
      <c r="H327" s="7" t="s">
        <f>=DATEDIF(A327,$O$2,"md")</f>
      </c>
      <c r="I327" s="7" t="n">
        <v>775</v>
      </c>
      <c r="J327" s="17" t="n">
        <v>992.17</v>
      </c>
      <c r="K327" s="6" t="s">
        <f>=Портфель!F43*Портфель!G43/100*Портфель!$Q$13+Портфель!H43*Портфель!$Q$13</f>
      </c>
      <c r="L327" s="6" t="s">
        <f>=E327*K327</f>
      </c>
      <c r="M327" s="6" t="s">
        <f>=(K327-J327)*E327</f>
      </c>
      <c r="N327" s="6" t="s">
        <f>=MAX(0,M327*0.13)</f>
      </c>
    </row>
    <row collapsed="false" customFormat="false" customHeight="false" hidden="false" ht="12.1" outlineLevel="0" r="328">
      <c r="A328" s="36" t="n">
        <v>45351</v>
      </c>
      <c r="B328" s="16" t="s">
        <v>1375</v>
      </c>
      <c r="C328" s="16" t="s">
        <v>130</v>
      </c>
      <c r="D328" s="16" t="s">
        <v>131</v>
      </c>
      <c r="E328" s="17" t="n">
        <v>1</v>
      </c>
      <c r="F328" s="7" t="s">
        <f>=DATEDIF(A328,$O$2,"y")</f>
      </c>
      <c r="G328" s="7" t="s">
        <f>=DATEDIF(A328,$O$2,"ym")</f>
      </c>
      <c r="H328" s="7" t="s">
        <f>=DATEDIF(A328,$O$2,"md")</f>
      </c>
      <c r="I328" s="7" t="n">
        <v>727</v>
      </c>
      <c r="J328" s="17" t="n">
        <v>983.28</v>
      </c>
      <c r="K328" s="6" t="s">
        <f>=Портфель!F43*Портфель!G43/100*Портфель!$Q$13+Портфель!H43*Портфель!$Q$13</f>
      </c>
      <c r="L328" s="6" t="s">
        <f>=E328*K328</f>
      </c>
      <c r="M328" s="6" t="s">
        <f>=(K328-J328)*E328</f>
      </c>
      <c r="N328" s="6" t="s">
        <f>=MAX(0,M328*0.13)</f>
      </c>
    </row>
    <row collapsed="false" customFormat="false" customHeight="false" hidden="false" ht="12.1" outlineLevel="0" r="329">
      <c r="A329" s="36" t="n">
        <v>45356</v>
      </c>
      <c r="B329" s="16" t="s">
        <v>1375</v>
      </c>
      <c r="C329" s="16" t="s">
        <v>130</v>
      </c>
      <c r="D329" s="16" t="s">
        <v>131</v>
      </c>
      <c r="E329" s="17" t="n">
        <v>1</v>
      </c>
      <c r="F329" s="7" t="s">
        <f>=DATEDIF(A329,$O$2,"y")</f>
      </c>
      <c r="G329" s="7" t="s">
        <f>=DATEDIF(A329,$O$2,"ym")</f>
      </c>
      <c r="H329" s="7" t="s">
        <f>=DATEDIF(A329,$O$2,"md")</f>
      </c>
      <c r="I329" s="7" t="n">
        <v>722</v>
      </c>
      <c r="J329" s="17" t="n">
        <v>975.29</v>
      </c>
      <c r="K329" s="6" t="s">
        <f>=Портфель!F43*Портфель!G43/100*Портфель!$Q$13+Портфель!H43*Портфель!$Q$13</f>
      </c>
      <c r="L329" s="6" t="s">
        <f>=E329*K329</f>
      </c>
      <c r="M329" s="6" t="s">
        <f>=(K329-J329)*E329</f>
      </c>
      <c r="N329" s="6" t="s">
        <f>=MAX(0,M329*0.13)</f>
      </c>
    </row>
    <row collapsed="false" customFormat="false" customHeight="false" hidden="false" ht="12.1" outlineLevel="0" r="330">
      <c r="A330" s="36" t="n">
        <v>45387</v>
      </c>
      <c r="B330" s="16" t="s">
        <v>1375</v>
      </c>
      <c r="C330" s="16" t="s">
        <v>130</v>
      </c>
      <c r="D330" s="16" t="s">
        <v>131</v>
      </c>
      <c r="E330" s="17" t="n">
        <v>1</v>
      </c>
      <c r="F330" s="7" t="s">
        <f>=DATEDIF(A330,$O$2,"y")</f>
      </c>
      <c r="G330" s="7" t="s">
        <f>=DATEDIF(A330,$O$2,"ym")</f>
      </c>
      <c r="H330" s="7" t="s">
        <f>=DATEDIF(A330,$O$2,"md")</f>
      </c>
      <c r="I330" s="7" t="n">
        <v>691</v>
      </c>
      <c r="J330" s="17" t="n">
        <v>898.85</v>
      </c>
      <c r="K330" s="6" t="s">
        <f>=Портфель!F43*Портфель!G43/100*Портфель!$Q$13+Портфель!H43*Портфель!$Q$13</f>
      </c>
      <c r="L330" s="6" t="s">
        <f>=E330*K330</f>
      </c>
      <c r="M330" s="6" t="s">
        <f>=(K330-J330)*E330</f>
      </c>
      <c r="N330" s="6" t="s">
        <f>=MAX(0,M330*0.13)</f>
      </c>
    </row>
    <row collapsed="false" customFormat="false" customHeight="false" hidden="false" ht="12.1" outlineLevel="0" r="331">
      <c r="A331" s="36" t="n">
        <v>45387</v>
      </c>
      <c r="B331" s="16" t="s">
        <v>1375</v>
      </c>
      <c r="C331" s="16" t="s">
        <v>130</v>
      </c>
      <c r="D331" s="16" t="s">
        <v>131</v>
      </c>
      <c r="E331" s="17" t="n">
        <v>1</v>
      </c>
      <c r="F331" s="7" t="s">
        <f>=DATEDIF(A331,$O$2,"y")</f>
      </c>
      <c r="G331" s="7" t="s">
        <f>=DATEDIF(A331,$O$2,"ym")</f>
      </c>
      <c r="H331" s="7" t="s">
        <f>=DATEDIF(A331,$O$2,"md")</f>
      </c>
      <c r="I331" s="7" t="n">
        <v>691</v>
      </c>
      <c r="J331" s="17" t="n">
        <v>898.68</v>
      </c>
      <c r="K331" s="6" t="s">
        <f>=Портфель!F43*Портфель!G43/100*Портфель!$Q$13+Портфель!H43*Портфель!$Q$13</f>
      </c>
      <c r="L331" s="6" t="s">
        <f>=E331*K331</f>
      </c>
      <c r="M331" s="6" t="s">
        <f>=(K331-J331)*E331</f>
      </c>
      <c r="N331" s="6" t="s">
        <f>=MAX(0,M331*0.13)</f>
      </c>
    </row>
    <row collapsed="false" customFormat="false" customHeight="false" hidden="false" ht="12.1" outlineLevel="0" r="332">
      <c r="A332" s="36" t="n">
        <v>45506</v>
      </c>
      <c r="B332" s="16" t="s">
        <v>1375</v>
      </c>
      <c r="C332" s="16" t="s">
        <v>130</v>
      </c>
      <c r="D332" s="16" t="s">
        <v>131</v>
      </c>
      <c r="E332" s="17" t="n">
        <v>1</v>
      </c>
      <c r="F332" s="7" t="s">
        <f>=DATEDIF(A332,$O$2,"y")</f>
      </c>
      <c r="G332" s="7" t="s">
        <f>=DATEDIF(A332,$O$2,"ym")</f>
      </c>
      <c r="H332" s="7" t="s">
        <f>=DATEDIF(A332,$O$2,"md")</f>
      </c>
      <c r="I332" s="7" t="n">
        <v>572</v>
      </c>
      <c r="J332" s="17" t="n">
        <v>852.79</v>
      </c>
      <c r="K332" s="6" t="s">
        <f>=Портфель!F43*Портфель!G43/100*Портфель!$Q$13+Портфель!H43*Портфель!$Q$13</f>
      </c>
      <c r="L332" s="6" t="s">
        <f>=E332*K332</f>
      </c>
      <c r="M332" s="6" t="s">
        <f>=(K332-J332)*E332</f>
      </c>
      <c r="N332" s="6" t="s">
        <f>=MAX(0,M332*0.13)</f>
      </c>
    </row>
    <row collapsed="false" customFormat="false" customHeight="false" hidden="false" ht="12.1" outlineLevel="0" r="333">
      <c r="A333" s="36" t="n">
        <v>45869</v>
      </c>
      <c r="B333" s="16" t="s">
        <v>1375</v>
      </c>
      <c r="C333" s="16" t="s">
        <v>130</v>
      </c>
      <c r="D333" s="16" t="s">
        <v>131</v>
      </c>
      <c r="E333" s="17" t="n">
        <v>1</v>
      </c>
      <c r="F333" s="7" t="s">
        <f>=DATEDIF(A333,$O$2,"y")</f>
      </c>
      <c r="G333" s="7" t="s">
        <f>=DATEDIF(A333,$O$2,"ym")</f>
      </c>
      <c r="H333" s="7" t="s">
        <f>=DATEDIF(A333,$O$2,"md")</f>
      </c>
      <c r="I333" s="7" t="n">
        <v>209</v>
      </c>
      <c r="J333" s="17" t="n">
        <v>925.1</v>
      </c>
      <c r="K333" s="6" t="s">
        <f>=Портфель!F43*Портфель!G43/100*Портфель!$Q$13+Портфель!H43*Портфель!$Q$13</f>
      </c>
      <c r="L333" s="6" t="s">
        <f>=E333*K333</f>
      </c>
      <c r="M333" s="6" t="s">
        <f>=(K333-J333)*E333</f>
      </c>
      <c r="N333" s="6" t="s">
        <f>=MAX(0,M333*0.13)</f>
      </c>
    </row>
    <row collapsed="false" customFormat="false" customHeight="false" hidden="false" ht="12.1" outlineLevel="0" r="334">
      <c r="A334" s="36" t="n">
        <v>45876</v>
      </c>
      <c r="B334" s="16" t="s">
        <v>1375</v>
      </c>
      <c r="C334" s="16" t="s">
        <v>130</v>
      </c>
      <c r="D334" s="16" t="s">
        <v>131</v>
      </c>
      <c r="E334" s="17" t="n">
        <v>1</v>
      </c>
      <c r="F334" s="7" t="s">
        <f>=DATEDIF(A334,$O$2,"y")</f>
      </c>
      <c r="G334" s="7" t="s">
        <f>=DATEDIF(A334,$O$2,"ym")</f>
      </c>
      <c r="H334" s="7" t="s">
        <f>=DATEDIF(A334,$O$2,"md")</f>
      </c>
      <c r="I334" s="7" t="n">
        <v>202</v>
      </c>
      <c r="J334" s="17" t="n">
        <v>931.97</v>
      </c>
      <c r="K334" s="6" t="s">
        <f>=Портфель!F43*Портфель!G43/100*Портфель!$Q$13+Портфель!H43*Портфель!$Q$13</f>
      </c>
      <c r="L334" s="6" t="s">
        <f>=E334*K334</f>
      </c>
      <c r="M334" s="6" t="s">
        <f>=(K334-J334)*E334</f>
      </c>
      <c r="N334" s="6" t="s">
        <f>=MAX(0,M334*0.13)</f>
      </c>
    </row>
    <row collapsed="false" customFormat="false" customHeight="false" hidden="false" ht="12.1" outlineLevel="0" r="335">
      <c r="A335" s="36" t="n">
        <v>45959</v>
      </c>
      <c r="B335" s="16" t="s">
        <v>1375</v>
      </c>
      <c r="C335" s="16" t="s">
        <v>130</v>
      </c>
      <c r="D335" s="16" t="s">
        <v>131</v>
      </c>
      <c r="E335" s="17" t="n">
        <v>1</v>
      </c>
      <c r="F335" s="7" t="s">
        <f>=DATEDIF(A335,$O$2,"y")</f>
      </c>
      <c r="G335" s="7" t="s">
        <f>=DATEDIF(A335,$O$2,"ym")</f>
      </c>
      <c r="H335" s="7" t="s">
        <f>=DATEDIF(A335,$O$2,"md")</f>
      </c>
      <c r="I335" s="7" t="n">
        <v>119</v>
      </c>
      <c r="J335" s="17" t="n">
        <v>853.13</v>
      </c>
      <c r="K335" s="6" t="s">
        <f>=Портфель!F43*Портфель!G43/100*Портфель!$Q$13+Портфель!H43*Портфель!$Q$13</f>
      </c>
      <c r="L335" s="6" t="s">
        <f>=E335*K335</f>
      </c>
      <c r="M335" s="6" t="s">
        <f>=(K335-J335)*E335</f>
      </c>
      <c r="N335" s="6" t="s">
        <f>=MAX(0,M335*0.13)</f>
      </c>
    </row>
    <row collapsed="false" customFormat="false" customHeight="false" hidden="false" ht="12.1" outlineLevel="0" r="336">
      <c r="A336" s="36" t="n">
        <v>45959</v>
      </c>
      <c r="B336" s="16" t="s">
        <v>1375</v>
      </c>
      <c r="C336" s="16" t="s">
        <v>130</v>
      </c>
      <c r="D336" s="16" t="s">
        <v>131</v>
      </c>
      <c r="E336" s="17" t="n">
        <v>1</v>
      </c>
      <c r="F336" s="7" t="s">
        <f>=DATEDIF(A336,$O$2,"y")</f>
      </c>
      <c r="G336" s="7" t="s">
        <f>=DATEDIF(A336,$O$2,"ym")</f>
      </c>
      <c r="H336" s="7" t="s">
        <f>=DATEDIF(A336,$O$2,"md")</f>
      </c>
      <c r="I336" s="7" t="n">
        <v>119</v>
      </c>
      <c r="J336" s="17" t="n">
        <v>853.14</v>
      </c>
      <c r="K336" s="6" t="s">
        <f>=Портфель!F43*Портфель!G43/100*Портфель!$Q$13+Портфель!H43*Портфель!$Q$13</f>
      </c>
      <c r="L336" s="6" t="s">
        <f>=E336*K336</f>
      </c>
      <c r="M336" s="6" t="s">
        <f>=(K336-J336)*E336</f>
      </c>
      <c r="N336" s="6" t="s">
        <f>=MAX(0,M336*0.13)</f>
      </c>
    </row>
    <row collapsed="false" customFormat="false" customHeight="false" hidden="false" ht="12.1" outlineLevel="0" r="337">
      <c r="A337" s="36" t="n">
        <v>45351</v>
      </c>
      <c r="B337" s="16" t="s">
        <v>1375</v>
      </c>
      <c r="C337" s="16" t="s">
        <v>133</v>
      </c>
      <c r="D337" s="16" t="s">
        <v>134</v>
      </c>
      <c r="E337" s="17" t="n">
        <v>1</v>
      </c>
      <c r="F337" s="7" t="s">
        <f>=DATEDIF(A337,$O$2,"y")</f>
      </c>
      <c r="G337" s="7" t="s">
        <f>=DATEDIF(A337,$O$2,"ym")</f>
      </c>
      <c r="H337" s="7" t="s">
        <f>=DATEDIF(A337,$O$2,"md")</f>
      </c>
      <c r="I337" s="7" t="n">
        <v>727</v>
      </c>
      <c r="J337" s="17" t="n">
        <v>865.68</v>
      </c>
      <c r="K337" s="6" t="s">
        <f>=Портфель!F44*Портфель!G44/100*Портфель!$Q$13+Портфель!H44*Портфель!$Q$13</f>
      </c>
      <c r="L337" s="6" t="s">
        <f>=E337*K337</f>
      </c>
      <c r="M337" s="6" t="s">
        <f>=(K337-J337)*E337</f>
      </c>
      <c r="N337" s="6" t="s">
        <f>=MAX(0,M337*0.13)</f>
      </c>
    </row>
    <row collapsed="false" customFormat="false" customHeight="false" hidden="false" ht="12.1" outlineLevel="0" r="338">
      <c r="A338" s="36" t="n">
        <v>45356</v>
      </c>
      <c r="B338" s="16" t="s">
        <v>1375</v>
      </c>
      <c r="C338" s="16" t="s">
        <v>133</v>
      </c>
      <c r="D338" s="16" t="s">
        <v>134</v>
      </c>
      <c r="E338" s="17" t="n">
        <v>1</v>
      </c>
      <c r="F338" s="7" t="s">
        <f>=DATEDIF(A338,$O$2,"y")</f>
      </c>
      <c r="G338" s="7" t="s">
        <f>=DATEDIF(A338,$O$2,"ym")</f>
      </c>
      <c r="H338" s="7" t="s">
        <f>=DATEDIF(A338,$O$2,"md")</f>
      </c>
      <c r="I338" s="7" t="n">
        <v>722</v>
      </c>
      <c r="J338" s="17" t="n">
        <v>860.33</v>
      </c>
      <c r="K338" s="6" t="s">
        <f>=Портфель!F44*Портфель!G44/100*Портфель!$Q$13+Портфель!H44*Портфель!$Q$13</f>
      </c>
      <c r="L338" s="6" t="s">
        <f>=E338*K338</f>
      </c>
      <c r="M338" s="6" t="s">
        <f>=(K338-J338)*E338</f>
      </c>
      <c r="N338" s="6" t="s">
        <f>=MAX(0,M338*0.13)</f>
      </c>
    </row>
    <row collapsed="false" customFormat="false" customHeight="false" hidden="false" ht="12.1" outlineLevel="0" r="339">
      <c r="A339" s="36" t="n">
        <v>45447</v>
      </c>
      <c r="B339" s="16" t="s">
        <v>1375</v>
      </c>
      <c r="C339" s="16" t="s">
        <v>133</v>
      </c>
      <c r="D339" s="16" t="s">
        <v>134</v>
      </c>
      <c r="E339" s="17" t="n">
        <v>1</v>
      </c>
      <c r="F339" s="7" t="s">
        <f>=DATEDIF(A339,$O$2,"y")</f>
      </c>
      <c r="G339" s="7" t="s">
        <f>=DATEDIF(A339,$O$2,"ym")</f>
      </c>
      <c r="H339" s="7" t="s">
        <f>=DATEDIF(A339,$O$2,"md")</f>
      </c>
      <c r="I339" s="7" t="n">
        <v>631</v>
      </c>
      <c r="J339" s="17" t="n">
        <v>750.19</v>
      </c>
      <c r="K339" s="6" t="s">
        <f>=Портфель!F44*Портфель!G44/100*Портфель!$Q$13+Портфель!H44*Портфель!$Q$13</f>
      </c>
      <c r="L339" s="6" t="s">
        <f>=E339*K339</f>
      </c>
      <c r="M339" s="6" t="s">
        <f>=(K339-J339)*E339</f>
      </c>
      <c r="N339" s="6" t="s">
        <f>=MAX(0,M339*0.13)</f>
      </c>
    </row>
    <row collapsed="false" customFormat="false" customHeight="false" hidden="false" ht="12.1" outlineLevel="0" r="340">
      <c r="A340" s="36" t="n">
        <v>45447</v>
      </c>
      <c r="B340" s="16" t="s">
        <v>1375</v>
      </c>
      <c r="C340" s="16" t="s">
        <v>133</v>
      </c>
      <c r="D340" s="16" t="s">
        <v>134</v>
      </c>
      <c r="E340" s="17" t="n">
        <v>1</v>
      </c>
      <c r="F340" s="7" t="s">
        <f>=DATEDIF(A340,$O$2,"y")</f>
      </c>
      <c r="G340" s="7" t="s">
        <f>=DATEDIF(A340,$O$2,"ym")</f>
      </c>
      <c r="H340" s="7" t="s">
        <f>=DATEDIF(A340,$O$2,"md")</f>
      </c>
      <c r="I340" s="7" t="n">
        <v>631</v>
      </c>
      <c r="J340" s="17" t="n">
        <v>749.51</v>
      </c>
      <c r="K340" s="6" t="s">
        <f>=Портфель!F44*Портфель!G44/100*Портфель!$Q$13+Портфель!H44*Портфель!$Q$13</f>
      </c>
      <c r="L340" s="6" t="s">
        <f>=E340*K340</f>
      </c>
      <c r="M340" s="6" t="s">
        <f>=(K340-J340)*E340</f>
      </c>
      <c r="N340" s="6" t="s">
        <f>=MAX(0,M340*0.13)</f>
      </c>
    </row>
    <row collapsed="false" customFormat="false" customHeight="false" hidden="false" ht="12.1" outlineLevel="0" r="341">
      <c r="A341" s="36" t="n">
        <v>45506</v>
      </c>
      <c r="B341" s="16" t="s">
        <v>1375</v>
      </c>
      <c r="C341" s="16" t="s">
        <v>133</v>
      </c>
      <c r="D341" s="16" t="s">
        <v>134</v>
      </c>
      <c r="E341" s="17" t="n">
        <v>1</v>
      </c>
      <c r="F341" s="7" t="s">
        <f>=DATEDIF(A341,$O$2,"y")</f>
      </c>
      <c r="G341" s="7" t="s">
        <f>=DATEDIF(A341,$O$2,"ym")</f>
      </c>
      <c r="H341" s="7" t="s">
        <f>=DATEDIF(A341,$O$2,"md")</f>
      </c>
      <c r="I341" s="7" t="n">
        <v>572</v>
      </c>
      <c r="J341" s="17" t="n">
        <v>746.13</v>
      </c>
      <c r="K341" s="6" t="s">
        <f>=Портфель!F44*Портфель!G44/100*Портфель!$Q$13+Портфель!H44*Портфель!$Q$13</f>
      </c>
      <c r="L341" s="6" t="s">
        <f>=E341*K341</f>
      </c>
      <c r="M341" s="6" t="s">
        <f>=(K341-J341)*E341</f>
      </c>
      <c r="N341" s="6" t="s">
        <f>=MAX(0,M341*0.13)</f>
      </c>
    </row>
    <row collapsed="false" customFormat="false" customHeight="false" hidden="false" ht="12.1" outlineLevel="0" r="342">
      <c r="A342" s="36" t="n">
        <v>45566</v>
      </c>
      <c r="B342" s="16" t="s">
        <v>1375</v>
      </c>
      <c r="C342" s="16" t="s">
        <v>133</v>
      </c>
      <c r="D342" s="16" t="s">
        <v>134</v>
      </c>
      <c r="E342" s="17" t="n">
        <v>1</v>
      </c>
      <c r="F342" s="7" t="s">
        <f>=DATEDIF(A342,$O$2,"y")</f>
      </c>
      <c r="G342" s="7" t="s">
        <f>=DATEDIF(A342,$O$2,"ym")</f>
      </c>
      <c r="H342" s="7" t="s">
        <f>=DATEDIF(A342,$O$2,"md")</f>
      </c>
      <c r="I342" s="7" t="n">
        <v>512</v>
      </c>
      <c r="J342" s="17" t="n">
        <v>682.15</v>
      </c>
      <c r="K342" s="6" t="s">
        <f>=Портфель!F44*Портфель!G44/100*Портфель!$Q$13+Портфель!H44*Портфель!$Q$13</f>
      </c>
      <c r="L342" s="6" t="s">
        <f>=E342*K342</f>
      </c>
      <c r="M342" s="6" t="s">
        <f>=(K342-J342)*E342</f>
      </c>
      <c r="N342" s="6" t="s">
        <f>=MAX(0,M342*0.13)</f>
      </c>
    </row>
    <row collapsed="false" customFormat="false" customHeight="false" hidden="false" ht="12.1" outlineLevel="0" r="343">
      <c r="A343" s="36" t="n">
        <v>45566</v>
      </c>
      <c r="B343" s="16" t="s">
        <v>1375</v>
      </c>
      <c r="C343" s="16" t="s">
        <v>133</v>
      </c>
      <c r="D343" s="16" t="s">
        <v>134</v>
      </c>
      <c r="E343" s="17" t="n">
        <v>1</v>
      </c>
      <c r="F343" s="7" t="s">
        <f>=DATEDIF(A343,$O$2,"y")</f>
      </c>
      <c r="G343" s="7" t="s">
        <f>=DATEDIF(A343,$O$2,"ym")</f>
      </c>
      <c r="H343" s="7" t="s">
        <f>=DATEDIF(A343,$O$2,"md")</f>
      </c>
      <c r="I343" s="7" t="n">
        <v>512</v>
      </c>
      <c r="J343" s="17" t="n">
        <v>681.79</v>
      </c>
      <c r="K343" s="6" t="s">
        <f>=Портфель!F44*Портфель!G44/100*Портфель!$Q$13+Портфель!H44*Портфель!$Q$13</f>
      </c>
      <c r="L343" s="6" t="s">
        <f>=E343*K343</f>
      </c>
      <c r="M343" s="6" t="s">
        <f>=(K343-J343)*E343</f>
      </c>
      <c r="N343" s="6" t="s">
        <f>=MAX(0,M343*0.13)</f>
      </c>
    </row>
    <row collapsed="false" customFormat="false" customHeight="false" hidden="false" ht="12.1" outlineLevel="0" r="344">
      <c r="A344" s="36" t="n">
        <v>45702</v>
      </c>
      <c r="B344" s="16" t="s">
        <v>1375</v>
      </c>
      <c r="C344" s="16" t="s">
        <v>133</v>
      </c>
      <c r="D344" s="16" t="s">
        <v>134</v>
      </c>
      <c r="E344" s="17" t="n">
        <v>1</v>
      </c>
      <c r="F344" s="7" t="s">
        <f>=DATEDIF(A344,$O$2,"y")</f>
      </c>
      <c r="G344" s="7" t="s">
        <f>=DATEDIF(A344,$O$2,"ym")</f>
      </c>
      <c r="H344" s="7" t="s">
        <f>=DATEDIF(A344,$O$2,"md")</f>
      </c>
      <c r="I344" s="7" t="n">
        <v>376</v>
      </c>
      <c r="J344" s="17" t="n">
        <v>765.95</v>
      </c>
      <c r="K344" s="6" t="s">
        <f>=Портфель!F44*Портфель!G44/100*Портфель!$Q$13+Портфель!H44*Портфель!$Q$13</f>
      </c>
      <c r="L344" s="6" t="s">
        <f>=E344*K344</f>
      </c>
      <c r="M344" s="6" t="s">
        <f>=(K344-J344)*E344</f>
      </c>
      <c r="N344" s="6" t="s">
        <f>=MAX(0,M344*0.13)</f>
      </c>
    </row>
    <row collapsed="false" customFormat="false" customHeight="false" hidden="false" ht="12.1" outlineLevel="0" r="345">
      <c r="A345" s="36" t="n">
        <v>45702</v>
      </c>
      <c r="B345" s="16" t="s">
        <v>1375</v>
      </c>
      <c r="C345" s="16" t="s">
        <v>133</v>
      </c>
      <c r="D345" s="16" t="s">
        <v>134</v>
      </c>
      <c r="E345" s="17" t="n">
        <v>1</v>
      </c>
      <c r="F345" s="7" t="s">
        <f>=DATEDIF(A345,$O$2,"y")</f>
      </c>
      <c r="G345" s="7" t="s">
        <f>=DATEDIF(A345,$O$2,"ym")</f>
      </c>
      <c r="H345" s="7" t="s">
        <f>=DATEDIF(A345,$O$2,"md")</f>
      </c>
      <c r="I345" s="7" t="n">
        <v>376</v>
      </c>
      <c r="J345" s="17" t="n">
        <v>767.24</v>
      </c>
      <c r="K345" s="6" t="s">
        <f>=Портфель!F44*Портфель!G44/100*Портфель!$Q$13+Портфель!H44*Портфель!$Q$13</f>
      </c>
      <c r="L345" s="6" t="s">
        <f>=E345*K345</f>
      </c>
      <c r="M345" s="6" t="s">
        <f>=(K345-J345)*E345</f>
      </c>
      <c r="N345" s="6" t="s">
        <f>=MAX(0,M345*0.13)</f>
      </c>
    </row>
    <row collapsed="false" customFormat="false" customHeight="false" hidden="false" ht="12.1" outlineLevel="0" r="346">
      <c r="A346" s="36" t="n">
        <v>45714</v>
      </c>
      <c r="B346" s="16" t="s">
        <v>1375</v>
      </c>
      <c r="C346" s="16" t="s">
        <v>133</v>
      </c>
      <c r="D346" s="16" t="s">
        <v>134</v>
      </c>
      <c r="E346" s="17" t="n">
        <v>1</v>
      </c>
      <c r="F346" s="7" t="s">
        <f>=DATEDIF(A346,$O$2,"y")</f>
      </c>
      <c r="G346" s="7" t="s">
        <f>=DATEDIF(A346,$O$2,"ym")</f>
      </c>
      <c r="H346" s="7" t="s">
        <f>=DATEDIF(A346,$O$2,"md")</f>
      </c>
      <c r="I346" s="7" t="n">
        <v>364</v>
      </c>
      <c r="J346" s="17" t="n">
        <v>760.91</v>
      </c>
      <c r="K346" s="6" t="s">
        <f>=Портфель!F44*Портфель!G44/100*Портфель!$Q$13+Портфель!H44*Портфель!$Q$13</f>
      </c>
      <c r="L346" s="6" t="s">
        <f>=E346*K346</f>
      </c>
      <c r="M346" s="6" t="s">
        <f>=(K346-J346)*E346</f>
      </c>
      <c r="N346" s="6" t="s">
        <f>=MAX(0,M346*0.13)</f>
      </c>
    </row>
    <row collapsed="false" customFormat="false" customHeight="false" hidden="false" ht="12.1" outlineLevel="0" r="347">
      <c r="A347" s="36" t="n">
        <v>45959</v>
      </c>
      <c r="B347" s="16" t="s">
        <v>1375</v>
      </c>
      <c r="C347" s="16" t="s">
        <v>133</v>
      </c>
      <c r="D347" s="16" t="s">
        <v>134</v>
      </c>
      <c r="E347" s="17" t="n">
        <v>1</v>
      </c>
      <c r="F347" s="7" t="s">
        <f>=DATEDIF(A347,$O$2,"y")</f>
      </c>
      <c r="G347" s="7" t="s">
        <f>=DATEDIF(A347,$O$2,"ym")</f>
      </c>
      <c r="H347" s="7" t="s">
        <f>=DATEDIF(A347,$O$2,"md")</f>
      </c>
      <c r="I347" s="7" t="n">
        <v>119</v>
      </c>
      <c r="J347" s="17" t="n">
        <v>775.63</v>
      </c>
      <c r="K347" s="6" t="s">
        <f>=Портфель!F44*Портфель!G44/100*Портфель!$Q$13+Портфель!H44*Портфель!$Q$13</f>
      </c>
      <c r="L347" s="6" t="s">
        <f>=E347*K347</f>
      </c>
      <c r="M347" s="6" t="s">
        <f>=(K347-J347)*E347</f>
      </c>
      <c r="N347" s="6" t="s">
        <f>=MAX(0,M347*0.13)</f>
      </c>
    </row>
    <row collapsed="false" customFormat="false" customHeight="false" hidden="false" ht="12.1" outlineLevel="0" r="348">
      <c r="A348" s="36" t="n">
        <v>45959</v>
      </c>
      <c r="B348" s="16" t="s">
        <v>1375</v>
      </c>
      <c r="C348" s="16" t="s">
        <v>133</v>
      </c>
      <c r="D348" s="16" t="s">
        <v>134</v>
      </c>
      <c r="E348" s="17" t="n">
        <v>1</v>
      </c>
      <c r="F348" s="7" t="s">
        <f>=DATEDIF(A348,$O$2,"y")</f>
      </c>
      <c r="G348" s="7" t="s">
        <f>=DATEDIF(A348,$O$2,"ym")</f>
      </c>
      <c r="H348" s="7" t="s">
        <f>=DATEDIF(A348,$O$2,"md")</f>
      </c>
      <c r="I348" s="7" t="n">
        <v>119</v>
      </c>
      <c r="J348" s="17" t="n">
        <v>776.02</v>
      </c>
      <c r="K348" s="6" t="s">
        <f>=Портфель!F44*Портфель!G44/100*Портфель!$Q$13+Портфель!H44*Портфель!$Q$13</f>
      </c>
      <c r="L348" s="6" t="s">
        <f>=E348*K348</f>
      </c>
      <c r="M348" s="6" t="s">
        <f>=(K348-J348)*E348</f>
      </c>
      <c r="N348" s="6" t="s">
        <f>=MAX(0,M348*0.13)</f>
      </c>
    </row>
    <row collapsed="false" customFormat="false" customHeight="false" hidden="false" ht="12.1" outlineLevel="0" r="349">
      <c r="A349" s="36" t="n">
        <v>44708</v>
      </c>
      <c r="B349" s="16" t="s">
        <v>1375</v>
      </c>
      <c r="C349" s="16" t="s">
        <v>136</v>
      </c>
      <c r="D349" s="16" t="s">
        <v>137</v>
      </c>
      <c r="E349" s="17" t="n">
        <v>1</v>
      </c>
      <c r="F349" s="7" t="s">
        <f>=DATEDIF(A349,$O$2,"y")</f>
      </c>
      <c r="G349" s="7" t="s">
        <f>=DATEDIF(A349,$O$2,"ym")</f>
      </c>
      <c r="H349" s="7" t="s">
        <f>=DATEDIF(A349,$O$2,"md")</f>
      </c>
      <c r="I349" s="7" t="n">
        <v>1370</v>
      </c>
      <c r="J349" s="17" t="n">
        <v>858.05</v>
      </c>
      <c r="K349" s="6" t="s">
        <f>=Портфель!F45*Портфель!G45/100*Портфель!$Q$13+Портфель!H45*Портфель!$Q$13</f>
      </c>
      <c r="L349" s="6" t="s">
        <f>=E349*K349</f>
      </c>
      <c r="M349" s="6" t="s">
        <f>=(K349-J349)*E349</f>
      </c>
      <c r="N349" s="6" t="s">
        <f>=MAX(0,M349*0.13)</f>
      </c>
    </row>
    <row collapsed="false" customFormat="false" customHeight="false" hidden="false" ht="12.1" outlineLevel="0" r="350">
      <c r="A350" s="36" t="n">
        <v>44868</v>
      </c>
      <c r="B350" s="16" t="s">
        <v>1375</v>
      </c>
      <c r="C350" s="16" t="s">
        <v>136</v>
      </c>
      <c r="D350" s="16" t="s">
        <v>137</v>
      </c>
      <c r="E350" s="17" t="n">
        <v>1</v>
      </c>
      <c r="F350" s="7" t="s">
        <f>=DATEDIF(A350,$O$2,"y")</f>
      </c>
      <c r="G350" s="7" t="s">
        <f>=DATEDIF(A350,$O$2,"ym")</f>
      </c>
      <c r="H350" s="7" t="s">
        <f>=DATEDIF(A350,$O$2,"md")</f>
      </c>
      <c r="I350" s="7" t="n">
        <v>1210</v>
      </c>
      <c r="J350" s="17" t="n">
        <v>856.43</v>
      </c>
      <c r="K350" s="6" t="s">
        <f>=Портфель!F45*Портфель!G45/100*Портфель!$Q$13+Портфель!H45*Портфель!$Q$13</f>
      </c>
      <c r="L350" s="6" t="s">
        <f>=E350*K350</f>
      </c>
      <c r="M350" s="6" t="s">
        <f>=(K350-J350)*E350</f>
      </c>
      <c r="N350" s="6" t="s">
        <f>=MAX(0,M350*0.13)</f>
      </c>
    </row>
    <row collapsed="false" customFormat="false" customHeight="false" hidden="false" ht="12.1" outlineLevel="0" r="351">
      <c r="A351" s="36" t="n">
        <v>45006</v>
      </c>
      <c r="B351" s="16" t="s">
        <v>1375</v>
      </c>
      <c r="C351" s="16" t="s">
        <v>136</v>
      </c>
      <c r="D351" s="16" t="s">
        <v>137</v>
      </c>
      <c r="E351" s="17" t="n">
        <v>1</v>
      </c>
      <c r="F351" s="7" t="s">
        <f>=DATEDIF(A351,$O$2,"y")</f>
      </c>
      <c r="G351" s="7" t="s">
        <f>=DATEDIF(A351,$O$2,"ym")</f>
      </c>
      <c r="H351" s="7" t="s">
        <f>=DATEDIF(A351,$O$2,"md")</f>
      </c>
      <c r="I351" s="7" t="n">
        <v>1072</v>
      </c>
      <c r="J351" s="17" t="n">
        <v>823.33</v>
      </c>
      <c r="K351" s="6" t="s">
        <f>=Портфель!F45*Портфель!G45/100*Портфель!$Q$13+Портфель!H45*Портфель!$Q$13</f>
      </c>
      <c r="L351" s="6" t="s">
        <f>=E351*K351</f>
      </c>
      <c r="M351" s="6" t="s">
        <f>=(K351-J351)*E351</f>
      </c>
      <c r="N351" s="6" t="s">
        <f>=MAX(0,M351*0.13)</f>
      </c>
    </row>
    <row collapsed="false" customFormat="false" customHeight="false" hidden="false" ht="12.1" outlineLevel="0" r="352">
      <c r="A352" s="36" t="n">
        <v>45184</v>
      </c>
      <c r="B352" s="16" t="s">
        <v>1375</v>
      </c>
      <c r="C352" s="16" t="s">
        <v>136</v>
      </c>
      <c r="D352" s="16" t="s">
        <v>137</v>
      </c>
      <c r="E352" s="17" t="n">
        <v>1</v>
      </c>
      <c r="F352" s="7" t="s">
        <f>=DATEDIF(A352,$O$2,"y")</f>
      </c>
      <c r="G352" s="7" t="s">
        <f>=DATEDIF(A352,$O$2,"ym")</f>
      </c>
      <c r="H352" s="7" t="s">
        <f>=DATEDIF(A352,$O$2,"md")</f>
      </c>
      <c r="I352" s="7" t="n">
        <v>894</v>
      </c>
      <c r="J352" s="17" t="n">
        <v>779.89</v>
      </c>
      <c r="K352" s="6" t="s">
        <f>=Портфель!F45*Портфель!G45/100*Портфель!$Q$13+Портфель!H45*Портфель!$Q$13</f>
      </c>
      <c r="L352" s="6" t="s">
        <f>=E352*K352</f>
      </c>
      <c r="M352" s="6" t="s">
        <f>=(K352-J352)*E352</f>
      </c>
      <c r="N352" s="6" t="s">
        <f>=MAX(0,M352*0.13)</f>
      </c>
    </row>
    <row collapsed="false" customFormat="false" customHeight="false" hidden="false" ht="12.1" outlineLevel="0" r="353">
      <c r="A353" s="36" t="n">
        <v>45184</v>
      </c>
      <c r="B353" s="16" t="s">
        <v>1375</v>
      </c>
      <c r="C353" s="16" t="s">
        <v>136</v>
      </c>
      <c r="D353" s="16" t="s">
        <v>137</v>
      </c>
      <c r="E353" s="17" t="n">
        <v>1</v>
      </c>
      <c r="F353" s="7" t="s">
        <f>=DATEDIF(A353,$O$2,"y")</f>
      </c>
      <c r="G353" s="7" t="s">
        <f>=DATEDIF(A353,$O$2,"ym")</f>
      </c>
      <c r="H353" s="7" t="s">
        <f>=DATEDIF(A353,$O$2,"md")</f>
      </c>
      <c r="I353" s="7" t="n">
        <v>894</v>
      </c>
      <c r="J353" s="17" t="n">
        <v>780.39</v>
      </c>
      <c r="K353" s="6" t="s">
        <f>=Портфель!F45*Портфель!G45/100*Портфель!$Q$13+Портфель!H45*Портфель!$Q$13</f>
      </c>
      <c r="L353" s="6" t="s">
        <f>=E353*K353</f>
      </c>
      <c r="M353" s="6" t="s">
        <f>=(K353-J353)*E353</f>
      </c>
      <c r="N353" s="6" t="s">
        <f>=MAX(0,M353*0.13)</f>
      </c>
    </row>
    <row collapsed="false" customFormat="false" customHeight="false" hidden="false" ht="12.1" outlineLevel="0" r="354">
      <c r="A354" s="36" t="n">
        <v>45240</v>
      </c>
      <c r="B354" s="16" t="s">
        <v>1375</v>
      </c>
      <c r="C354" s="16" t="s">
        <v>136</v>
      </c>
      <c r="D354" s="16" t="s">
        <v>137</v>
      </c>
      <c r="E354" s="17" t="n">
        <v>1</v>
      </c>
      <c r="F354" s="7" t="s">
        <f>=DATEDIF(A354,$O$2,"y")</f>
      </c>
      <c r="G354" s="7" t="s">
        <f>=DATEDIF(A354,$O$2,"ym")</f>
      </c>
      <c r="H354" s="7" t="s">
        <f>=DATEDIF(A354,$O$2,"md")</f>
      </c>
      <c r="I354" s="7" t="n">
        <v>838</v>
      </c>
      <c r="J354" s="17" t="n">
        <v>791.63</v>
      </c>
      <c r="K354" s="6" t="s">
        <f>=Портфель!F45*Портфель!G45/100*Портфель!$Q$13+Портфель!H45*Портфель!$Q$13</f>
      </c>
      <c r="L354" s="6" t="s">
        <f>=E354*K354</f>
      </c>
      <c r="M354" s="6" t="s">
        <f>=(K354-J354)*E354</f>
      </c>
      <c r="N354" s="6" t="s">
        <f>=MAX(0,M354*0.13)</f>
      </c>
    </row>
    <row collapsed="false" customFormat="false" customHeight="false" hidden="false" ht="12.1" outlineLevel="0" r="355">
      <c r="A355" s="36" t="n">
        <v>45356</v>
      </c>
      <c r="B355" s="16" t="s">
        <v>1375</v>
      </c>
      <c r="C355" s="16" t="s">
        <v>136</v>
      </c>
      <c r="D355" s="16" t="s">
        <v>137</v>
      </c>
      <c r="E355" s="17" t="n">
        <v>1</v>
      </c>
      <c r="F355" s="7" t="s">
        <f>=DATEDIF(A355,$O$2,"y")</f>
      </c>
      <c r="G355" s="7" t="s">
        <f>=DATEDIF(A355,$O$2,"ym")</f>
      </c>
      <c r="H355" s="7" t="s">
        <f>=DATEDIF(A355,$O$2,"md")</f>
      </c>
      <c r="I355" s="7" t="n">
        <v>722</v>
      </c>
      <c r="J355" s="17" t="n">
        <v>739.35</v>
      </c>
      <c r="K355" s="6" t="s">
        <f>=Портфель!F45*Портфель!G45/100*Портфель!$Q$13+Портфель!H45*Портфель!$Q$13</f>
      </c>
      <c r="L355" s="6" t="s">
        <f>=E355*K355</f>
      </c>
      <c r="M355" s="6" t="s">
        <f>=(K355-J355)*E355</f>
      </c>
      <c r="N355" s="6" t="s">
        <f>=MAX(0,M355*0.13)</f>
      </c>
    </row>
    <row collapsed="false" customFormat="false" customHeight="false" hidden="false" ht="12.1" outlineLevel="0" r="356">
      <c r="A356" s="36" t="n">
        <v>45387</v>
      </c>
      <c r="B356" s="16" t="s">
        <v>1375</v>
      </c>
      <c r="C356" s="16" t="s">
        <v>136</v>
      </c>
      <c r="D356" s="16" t="s">
        <v>137</v>
      </c>
      <c r="E356" s="17" t="n">
        <v>1</v>
      </c>
      <c r="F356" s="7" t="s">
        <f>=DATEDIF(A356,$O$2,"y")</f>
      </c>
      <c r="G356" s="7" t="s">
        <f>=DATEDIF(A356,$O$2,"ym")</f>
      </c>
      <c r="H356" s="7" t="s">
        <f>=DATEDIF(A356,$O$2,"md")</f>
      </c>
      <c r="I356" s="7" t="n">
        <v>691</v>
      </c>
      <c r="J356" s="17" t="n">
        <v>707.93</v>
      </c>
      <c r="K356" s="6" t="s">
        <f>=Портфель!F45*Портфель!G45/100*Портфель!$Q$13+Портфель!H45*Портфель!$Q$13</f>
      </c>
      <c r="L356" s="6" t="s">
        <f>=E356*K356</f>
      </c>
      <c r="M356" s="6" t="s">
        <f>=(K356-J356)*E356</f>
      </c>
      <c r="N356" s="6" t="s">
        <f>=MAX(0,M356*0.13)</f>
      </c>
    </row>
    <row collapsed="false" customFormat="false" customHeight="false" hidden="false" ht="12.1" outlineLevel="0" r="357">
      <c r="A357" s="36" t="n">
        <v>45387</v>
      </c>
      <c r="B357" s="16" t="s">
        <v>1375</v>
      </c>
      <c r="C357" s="16" t="s">
        <v>136</v>
      </c>
      <c r="D357" s="16" t="s">
        <v>137</v>
      </c>
      <c r="E357" s="17" t="n">
        <v>1</v>
      </c>
      <c r="F357" s="7" t="s">
        <f>=DATEDIF(A357,$O$2,"y")</f>
      </c>
      <c r="G357" s="7" t="s">
        <f>=DATEDIF(A357,$O$2,"ym")</f>
      </c>
      <c r="H357" s="7" t="s">
        <f>=DATEDIF(A357,$O$2,"md")</f>
      </c>
      <c r="I357" s="7" t="n">
        <v>691</v>
      </c>
      <c r="J357" s="17" t="n">
        <v>707.93</v>
      </c>
      <c r="K357" s="6" t="s">
        <f>=Портфель!F45*Портфель!G45/100*Портфель!$Q$13+Портфель!H45*Портфель!$Q$13</f>
      </c>
      <c r="L357" s="6" t="s">
        <f>=E357*K357</f>
      </c>
      <c r="M357" s="6" t="s">
        <f>=(K357-J357)*E357</f>
      </c>
      <c r="N357" s="6" t="s">
        <f>=MAX(0,M357*0.13)</f>
      </c>
    </row>
    <row collapsed="false" customFormat="false" customHeight="false" hidden="false" ht="12.1" outlineLevel="0" r="358">
      <c r="A358" s="36" t="n">
        <v>45714</v>
      </c>
      <c r="B358" s="16" t="s">
        <v>1375</v>
      </c>
      <c r="C358" s="16" t="s">
        <v>136</v>
      </c>
      <c r="D358" s="16" t="s">
        <v>137</v>
      </c>
      <c r="E358" s="17" t="n">
        <v>1</v>
      </c>
      <c r="F358" s="7" t="s">
        <f>=DATEDIF(A358,$O$2,"y")</f>
      </c>
      <c r="G358" s="7" t="s">
        <f>=DATEDIF(A358,$O$2,"ym")</f>
      </c>
      <c r="H358" s="7" t="s">
        <f>=DATEDIF(A358,$O$2,"md")</f>
      </c>
      <c r="I358" s="7" t="n">
        <v>364</v>
      </c>
      <c r="J358" s="17" t="n">
        <v>627.39</v>
      </c>
      <c r="K358" s="6" t="s">
        <f>=Портфель!F45*Портфель!G45/100*Портфель!$Q$13+Портфель!H45*Портфель!$Q$13</f>
      </c>
      <c r="L358" s="6" t="s">
        <f>=E358*K358</f>
      </c>
      <c r="M358" s="6" t="s">
        <f>=(K358-J358)*E358</f>
      </c>
      <c r="N358" s="6" t="s">
        <f>=MAX(0,M358*0.13)</f>
      </c>
    </row>
    <row collapsed="false" customFormat="false" customHeight="false" hidden="false" ht="12.1" outlineLevel="0" r="359">
      <c r="A359" s="36" t="n">
        <v>45869</v>
      </c>
      <c r="B359" s="16" t="s">
        <v>1375</v>
      </c>
      <c r="C359" s="16" t="s">
        <v>136</v>
      </c>
      <c r="D359" s="16" t="s">
        <v>137</v>
      </c>
      <c r="E359" s="17" t="n">
        <v>1</v>
      </c>
      <c r="F359" s="7" t="s">
        <f>=DATEDIF(A359,$O$2,"y")</f>
      </c>
      <c r="G359" s="7" t="s">
        <f>=DATEDIF(A359,$O$2,"ym")</f>
      </c>
      <c r="H359" s="7" t="s">
        <f>=DATEDIF(A359,$O$2,"md")</f>
      </c>
      <c r="I359" s="7" t="n">
        <v>209</v>
      </c>
      <c r="J359" s="17" t="n">
        <v>702.59</v>
      </c>
      <c r="K359" s="6" t="s">
        <f>=Портфель!F45*Портфель!G45/100*Портфель!$Q$13+Портфель!H45*Портфель!$Q$13</f>
      </c>
      <c r="L359" s="6" t="s">
        <f>=E359*K359</f>
      </c>
      <c r="M359" s="6" t="s">
        <f>=(K359-J359)*E359</f>
      </c>
      <c r="N359" s="6" t="s">
        <f>=MAX(0,M359*0.13)</f>
      </c>
    </row>
    <row collapsed="false" customFormat="false" customHeight="false" hidden="false" ht="12.1" outlineLevel="0" r="360">
      <c r="A360" s="36" t="n">
        <v>45876</v>
      </c>
      <c r="B360" s="16" t="s">
        <v>1375</v>
      </c>
      <c r="C360" s="16" t="s">
        <v>136</v>
      </c>
      <c r="D360" s="16" t="s">
        <v>137</v>
      </c>
      <c r="E360" s="17" t="n">
        <v>1</v>
      </c>
      <c r="F360" s="7" t="s">
        <f>=DATEDIF(A360,$O$2,"y")</f>
      </c>
      <c r="G360" s="7" t="s">
        <f>=DATEDIF(A360,$O$2,"ym")</f>
      </c>
      <c r="H360" s="7" t="s">
        <f>=DATEDIF(A360,$O$2,"md")</f>
      </c>
      <c r="I360" s="7" t="n">
        <v>202</v>
      </c>
      <c r="J360" s="17" t="n">
        <v>702.48</v>
      </c>
      <c r="K360" s="6" t="s">
        <f>=Портфель!F45*Портфель!G45/100*Портфель!$Q$13+Портфель!H45*Портфель!$Q$13</f>
      </c>
      <c r="L360" s="6" t="s">
        <f>=E360*K360</f>
      </c>
      <c r="M360" s="6" t="s">
        <f>=(K360-J360)*E360</f>
      </c>
      <c r="N360" s="6" t="s">
        <f>=MAX(0,M360*0.13)</f>
      </c>
    </row>
    <row collapsed="false" customFormat="false" customHeight="false" hidden="false" ht="12.1" outlineLevel="0" r="361">
      <c r="A361" s="36" t="n">
        <v>45931</v>
      </c>
      <c r="B361" s="16" t="s">
        <v>1375</v>
      </c>
      <c r="C361" s="16" t="s">
        <v>136</v>
      </c>
      <c r="D361" s="16" t="s">
        <v>137</v>
      </c>
      <c r="E361" s="17" t="n">
        <v>1</v>
      </c>
      <c r="F361" s="7" t="s">
        <f>=DATEDIF(A361,$O$2,"y")</f>
      </c>
      <c r="G361" s="7" t="s">
        <f>=DATEDIF(A361,$O$2,"ym")</f>
      </c>
      <c r="H361" s="7" t="s">
        <f>=DATEDIF(A361,$O$2,"md")</f>
      </c>
      <c r="I361" s="7" t="n">
        <v>147</v>
      </c>
      <c r="J361" s="17" t="n">
        <v>677.57</v>
      </c>
      <c r="K361" s="6" t="s">
        <f>=Портфель!F45*Портфель!G45/100*Портфель!$Q$13+Портфель!H45*Портфель!$Q$13</f>
      </c>
      <c r="L361" s="6" t="s">
        <f>=E361*K361</f>
      </c>
      <c r="M361" s="6" t="s">
        <f>=(K361-J361)*E361</f>
      </c>
      <c r="N361" s="6" t="s">
        <f>=MAX(0,M361*0.13)</f>
      </c>
    </row>
    <row collapsed="false" customFormat="false" customHeight="false" hidden="false" ht="12.1" outlineLevel="0" r="362">
      <c r="A362" s="36" t="n">
        <v>45959</v>
      </c>
      <c r="B362" s="16" t="s">
        <v>1375</v>
      </c>
      <c r="C362" s="16" t="s">
        <v>136</v>
      </c>
      <c r="D362" s="16" t="s">
        <v>137</v>
      </c>
      <c r="E362" s="17" t="n">
        <v>1</v>
      </c>
      <c r="F362" s="7" t="s">
        <f>=DATEDIF(A362,$O$2,"y")</f>
      </c>
      <c r="G362" s="7" t="s">
        <f>=DATEDIF(A362,$O$2,"ym")</f>
      </c>
      <c r="H362" s="7" t="s">
        <f>=DATEDIF(A362,$O$2,"md")</f>
      </c>
      <c r="I362" s="7" t="n">
        <v>119</v>
      </c>
      <c r="J362" s="17" t="n">
        <v>681.01</v>
      </c>
      <c r="K362" s="6" t="s">
        <f>=Портфель!F45*Портфель!G45/100*Портфель!$Q$13+Портфель!H45*Портфель!$Q$13</f>
      </c>
      <c r="L362" s="6" t="s">
        <f>=E362*K362</f>
      </c>
      <c r="M362" s="6" t="s">
        <f>=(K362-J362)*E362</f>
      </c>
      <c r="N362" s="6" t="s">
        <f>=MAX(0,M362*0.13)</f>
      </c>
    </row>
    <row collapsed="false" customFormat="false" customHeight="false" hidden="false" ht="12.1" outlineLevel="0" r="363">
      <c r="A363" s="36" t="n">
        <v>45026</v>
      </c>
      <c r="B363" s="16" t="s">
        <v>1375</v>
      </c>
      <c r="C363" s="16" t="s">
        <v>139</v>
      </c>
      <c r="D363" s="16" t="s">
        <v>140</v>
      </c>
      <c r="E363" s="17" t="n">
        <v>1</v>
      </c>
      <c r="F363" s="7" t="s">
        <f>=DATEDIF(A363,$O$2,"y")</f>
      </c>
      <c r="G363" s="7" t="s">
        <f>=DATEDIF(A363,$O$2,"ym")</f>
      </c>
      <c r="H363" s="7" t="s">
        <f>=DATEDIF(A363,$O$2,"md")</f>
      </c>
      <c r="I363" s="7" t="n">
        <v>1052</v>
      </c>
      <c r="J363" s="17" t="n">
        <v>1027.73</v>
      </c>
      <c r="K363" s="6" t="s">
        <f>=Портфель!F46*Портфель!G46/100*Портфель!$Q$13+Портфель!H46*Портфель!$Q$13</f>
      </c>
      <c r="L363" s="6" t="s">
        <f>=E363*K363</f>
      </c>
      <c r="M363" s="6" t="s">
        <f>=(K363-J363)*E363</f>
      </c>
      <c r="N363" s="6" t="s">
        <f>=MAX(0,M363*0.13)</f>
      </c>
    </row>
    <row collapsed="false" customFormat="false" customHeight="false" hidden="false" ht="12.1" outlineLevel="0" r="364">
      <c r="A364" s="36" t="n">
        <v>45026</v>
      </c>
      <c r="B364" s="16" t="s">
        <v>1375</v>
      </c>
      <c r="C364" s="16" t="s">
        <v>139</v>
      </c>
      <c r="D364" s="16" t="s">
        <v>140</v>
      </c>
      <c r="E364" s="17" t="n">
        <v>1</v>
      </c>
      <c r="F364" s="7" t="s">
        <f>=DATEDIF(A364,$O$2,"y")</f>
      </c>
      <c r="G364" s="7" t="s">
        <f>=DATEDIF(A364,$O$2,"ym")</f>
      </c>
      <c r="H364" s="7" t="s">
        <f>=DATEDIF(A364,$O$2,"md")</f>
      </c>
      <c r="I364" s="7" t="n">
        <v>1052</v>
      </c>
      <c r="J364" s="17" t="n">
        <v>1027.73</v>
      </c>
      <c r="K364" s="6" t="s">
        <f>=Портфель!F46*Портфель!G46/100*Портфель!$Q$13+Портфель!H46*Портфель!$Q$13</f>
      </c>
      <c r="L364" s="6" t="s">
        <f>=E364*K364</f>
      </c>
      <c r="M364" s="6" t="s">
        <f>=(K364-J364)*E364</f>
      </c>
      <c r="N364" s="6" t="s">
        <f>=MAX(0,M364*0.13)</f>
      </c>
    </row>
    <row collapsed="false" customFormat="false" customHeight="false" hidden="false" ht="12.1" outlineLevel="0" r="365">
      <c r="A365" s="36" t="n">
        <v>45114</v>
      </c>
      <c r="B365" s="16" t="s">
        <v>1375</v>
      </c>
      <c r="C365" s="16" t="s">
        <v>139</v>
      </c>
      <c r="D365" s="16" t="s">
        <v>140</v>
      </c>
      <c r="E365" s="17" t="n">
        <v>2</v>
      </c>
      <c r="F365" s="7" t="s">
        <f>=DATEDIF(A365,$O$2,"y")</f>
      </c>
      <c r="G365" s="7" t="s">
        <f>=DATEDIF(A365,$O$2,"ym")</f>
      </c>
      <c r="H365" s="7" t="s">
        <f>=DATEDIF(A365,$O$2,"md")</f>
      </c>
      <c r="I365" s="7" t="n">
        <v>964</v>
      </c>
      <c r="J365" s="17" t="n">
        <v>994.355</v>
      </c>
      <c r="K365" s="6" t="s">
        <f>=Портфель!F46*Портфель!G46/100*Портфель!$Q$13+Портфель!H46*Портфель!$Q$13</f>
      </c>
      <c r="L365" s="6" t="s">
        <f>=E365*K365</f>
      </c>
      <c r="M365" s="6" t="s">
        <f>=(K365-J365)*E365</f>
      </c>
      <c r="N365" s="6" t="s">
        <f>=MAX(0,M365*0.13)</f>
      </c>
    </row>
    <row collapsed="false" customFormat="false" customHeight="false" hidden="false" ht="12.1" outlineLevel="0" r="366">
      <c r="A366" s="36" t="n">
        <v>45146</v>
      </c>
      <c r="B366" s="16" t="s">
        <v>1375</v>
      </c>
      <c r="C366" s="16" t="s">
        <v>139</v>
      </c>
      <c r="D366" s="16" t="s">
        <v>140</v>
      </c>
      <c r="E366" s="17" t="n">
        <v>1</v>
      </c>
      <c r="F366" s="7" t="s">
        <f>=DATEDIF(A366,$O$2,"y")</f>
      </c>
      <c r="G366" s="7" t="s">
        <f>=DATEDIF(A366,$O$2,"ym")</f>
      </c>
      <c r="H366" s="7" t="s">
        <f>=DATEDIF(A366,$O$2,"md")</f>
      </c>
      <c r="I366" s="7" t="n">
        <v>932</v>
      </c>
      <c r="J366" s="17" t="n">
        <v>994.76</v>
      </c>
      <c r="K366" s="6" t="s">
        <f>=Портфель!F46*Портфель!G46/100*Портфель!$Q$13+Портфель!H46*Портфель!$Q$13</f>
      </c>
      <c r="L366" s="6" t="s">
        <f>=E366*K366</f>
      </c>
      <c r="M366" s="6" t="s">
        <f>=(K366-J366)*E366</f>
      </c>
      <c r="N366" s="6" t="s">
        <f>=MAX(0,M366*0.13)</f>
      </c>
    </row>
    <row collapsed="false" customFormat="false" customHeight="false" hidden="false" ht="12.1" outlineLevel="0" r="367">
      <c r="A367" s="36" t="n">
        <v>45267</v>
      </c>
      <c r="B367" s="16" t="s">
        <v>1375</v>
      </c>
      <c r="C367" s="16" t="s">
        <v>139</v>
      </c>
      <c r="D367" s="16" t="s">
        <v>140</v>
      </c>
      <c r="E367" s="17" t="n">
        <v>1</v>
      </c>
      <c r="F367" s="7" t="s">
        <f>=DATEDIF(A367,$O$2,"y")</f>
      </c>
      <c r="G367" s="7" t="s">
        <f>=DATEDIF(A367,$O$2,"ym")</f>
      </c>
      <c r="H367" s="7" t="s">
        <f>=DATEDIF(A367,$O$2,"md")</f>
      </c>
      <c r="I367" s="7" t="n">
        <v>811</v>
      </c>
      <c r="J367" s="17" t="n">
        <v>926.38</v>
      </c>
      <c r="K367" s="6" t="s">
        <f>=Портфель!F46*Портфель!G46/100*Портфель!$Q$13+Портфель!H46*Портфель!$Q$13</f>
      </c>
      <c r="L367" s="6" t="s">
        <f>=E367*K367</f>
      </c>
      <c r="M367" s="6" t="s">
        <f>=(K367-J367)*E367</f>
      </c>
      <c r="N367" s="6" t="s">
        <f>=MAX(0,M367*0.13)</f>
      </c>
    </row>
    <row collapsed="false" customFormat="false" customHeight="false" hidden="false" ht="12.1" outlineLevel="0" r="368">
      <c r="A368" s="36" t="n">
        <v>44903</v>
      </c>
      <c r="B368" s="16" t="s">
        <v>1375</v>
      </c>
      <c r="C368" s="16" t="s">
        <v>142</v>
      </c>
      <c r="D368" s="16" t="s">
        <v>143</v>
      </c>
      <c r="E368" s="17" t="n">
        <v>1</v>
      </c>
      <c r="F368" s="7" t="s">
        <f>=DATEDIF(A368,$O$2,"y")</f>
      </c>
      <c r="G368" s="7" t="s">
        <f>=DATEDIF(A368,$O$2,"ym")</f>
      </c>
      <c r="H368" s="7" t="s">
        <f>=DATEDIF(A368,$O$2,"md")</f>
      </c>
      <c r="I368" s="7" t="n">
        <v>1175</v>
      </c>
      <c r="J368" s="17" t="n">
        <v>1060.71</v>
      </c>
      <c r="K368" s="6" t="s">
        <f>=Портфель!F47*Портфель!G47/100*Портфель!$Q$13+Портфель!H47*Портфель!$Q$13</f>
      </c>
      <c r="L368" s="6" t="s">
        <f>=E368*K368</f>
      </c>
      <c r="M368" s="6" t="s">
        <f>=(K368-J368)*E368</f>
      </c>
      <c r="N368" s="6" t="s">
        <f>=MAX(0,M368*0.13)</f>
      </c>
    </row>
    <row collapsed="false" customFormat="false" customHeight="false" hidden="false" ht="12.1" outlineLevel="0" r="369">
      <c r="A369" s="36" t="n">
        <v>44950</v>
      </c>
      <c r="B369" s="16" t="s">
        <v>1375</v>
      </c>
      <c r="C369" s="16" t="s">
        <v>142</v>
      </c>
      <c r="D369" s="16" t="s">
        <v>143</v>
      </c>
      <c r="E369" s="17" t="n">
        <v>1</v>
      </c>
      <c r="F369" s="7" t="s">
        <f>=DATEDIF(A369,$O$2,"y")</f>
      </c>
      <c r="G369" s="7" t="s">
        <f>=DATEDIF(A369,$O$2,"ym")</f>
      </c>
      <c r="H369" s="7" t="s">
        <f>=DATEDIF(A369,$O$2,"md")</f>
      </c>
      <c r="I369" s="7" t="n">
        <v>1128</v>
      </c>
      <c r="J369" s="17" t="n">
        <v>1081.49</v>
      </c>
      <c r="K369" s="6" t="s">
        <f>=Портфель!F47*Портфель!G47/100*Портфель!$Q$13+Портфель!H47*Портфель!$Q$13</f>
      </c>
      <c r="L369" s="6" t="s">
        <f>=E369*K369</f>
      </c>
      <c r="M369" s="6" t="s">
        <f>=(K369-J369)*E369</f>
      </c>
      <c r="N369" s="6" t="s">
        <f>=MAX(0,M369*0.13)</f>
      </c>
    </row>
    <row collapsed="false" customFormat="false" customHeight="false" hidden="false" ht="12.1" outlineLevel="0" r="370">
      <c r="A370" s="36" t="n">
        <v>45447</v>
      </c>
      <c r="B370" s="16" t="s">
        <v>1375</v>
      </c>
      <c r="C370" s="16" t="s">
        <v>142</v>
      </c>
      <c r="D370" s="16" t="s">
        <v>143</v>
      </c>
      <c r="E370" s="17" t="n">
        <v>1</v>
      </c>
      <c r="F370" s="7" t="s">
        <f>=DATEDIF(A370,$O$2,"y")</f>
      </c>
      <c r="G370" s="7" t="s">
        <f>=DATEDIF(A370,$O$2,"ym")</f>
      </c>
      <c r="H370" s="7" t="s">
        <f>=DATEDIF(A370,$O$2,"md")</f>
      </c>
      <c r="I370" s="7" t="n">
        <v>631</v>
      </c>
      <c r="J370" s="17" t="n">
        <v>1075.09</v>
      </c>
      <c r="K370" s="6" t="s">
        <f>=Портфель!F47*Портфель!G47/100*Портфель!$Q$13+Портфель!H47*Портфель!$Q$13</f>
      </c>
      <c r="L370" s="6" t="s">
        <f>=E370*K370</f>
      </c>
      <c r="M370" s="6" t="s">
        <f>=(K370-J370)*E370</f>
      </c>
      <c r="N370" s="6" t="s">
        <f>=MAX(0,M370*0.13)</f>
      </c>
    </row>
    <row collapsed="false" customFormat="false" customHeight="false" hidden="false" ht="12.1" outlineLevel="0" r="371">
      <c r="A371" s="36" t="n">
        <v>45447</v>
      </c>
      <c r="B371" s="16" t="s">
        <v>1375</v>
      </c>
      <c r="C371" s="16" t="s">
        <v>142</v>
      </c>
      <c r="D371" s="16" t="s">
        <v>143</v>
      </c>
      <c r="E371" s="17" t="n">
        <v>1</v>
      </c>
      <c r="F371" s="7" t="s">
        <f>=DATEDIF(A371,$O$2,"y")</f>
      </c>
      <c r="G371" s="7" t="s">
        <f>=DATEDIF(A371,$O$2,"ym")</f>
      </c>
      <c r="H371" s="7" t="s">
        <f>=DATEDIF(A371,$O$2,"md")</f>
      </c>
      <c r="I371" s="7" t="n">
        <v>631</v>
      </c>
      <c r="J371" s="17" t="n">
        <v>1075.09</v>
      </c>
      <c r="K371" s="6" t="s">
        <f>=Портфель!F47*Портфель!G47/100*Портфель!$Q$13+Портфель!H47*Портфель!$Q$13</f>
      </c>
      <c r="L371" s="6" t="s">
        <f>=E371*K371</f>
      </c>
      <c r="M371" s="6" t="s">
        <f>=(K371-J371)*E371</f>
      </c>
      <c r="N371" s="6" t="s">
        <f>=MAX(0,M371*0.13)</f>
      </c>
    </row>
    <row collapsed="false" customFormat="false" customHeight="false" hidden="false" ht="12.1" outlineLevel="0" r="372">
      <c r="A372" s="36" t="n">
        <v>45506</v>
      </c>
      <c r="B372" s="16" t="s">
        <v>1375</v>
      </c>
      <c r="C372" s="16" t="s">
        <v>142</v>
      </c>
      <c r="D372" s="16" t="s">
        <v>143</v>
      </c>
      <c r="E372" s="17" t="n">
        <v>1</v>
      </c>
      <c r="F372" s="7" t="s">
        <f>=DATEDIF(A372,$O$2,"y")</f>
      </c>
      <c r="G372" s="7" t="s">
        <f>=DATEDIF(A372,$O$2,"ym")</f>
      </c>
      <c r="H372" s="7" t="s">
        <f>=DATEDIF(A372,$O$2,"md")</f>
      </c>
      <c r="I372" s="7" t="n">
        <v>572</v>
      </c>
      <c r="J372" s="17" t="n">
        <v>1099.94</v>
      </c>
      <c r="K372" s="6" t="s">
        <f>=Портфель!F47*Портфель!G47/100*Портфель!$Q$13+Портфель!H47*Портфель!$Q$13</f>
      </c>
      <c r="L372" s="6" t="s">
        <f>=E372*K372</f>
      </c>
      <c r="M372" s="6" t="s">
        <f>=(K372-J372)*E372</f>
      </c>
      <c r="N372" s="6" t="s">
        <f>=MAX(0,M372*0.13)</f>
      </c>
    </row>
    <row collapsed="false" customFormat="false" customHeight="false" hidden="false" ht="12.1" outlineLevel="0" r="373">
      <c r="A373" s="36" t="n">
        <v>45901</v>
      </c>
      <c r="B373" s="16" t="s">
        <v>1375</v>
      </c>
      <c r="C373" s="16" t="s">
        <v>145</v>
      </c>
      <c r="D373" s="16" t="s">
        <v>146</v>
      </c>
      <c r="E373" s="17" t="n">
        <v>1</v>
      </c>
      <c r="F373" s="7" t="s">
        <f>=DATEDIF(A373,$O$2,"y")</f>
      </c>
      <c r="G373" s="7" t="s">
        <f>=DATEDIF(A373,$O$2,"ym")</f>
      </c>
      <c r="H373" s="7" t="s">
        <f>=DATEDIF(A373,$O$2,"md")</f>
      </c>
      <c r="I373" s="7" t="n">
        <v>177</v>
      </c>
      <c r="J373" s="17" t="n">
        <v>928.66</v>
      </c>
      <c r="K373" s="6" t="s">
        <f>=Портфель!F48*Портфель!G48/100*Портфель!$Q$13+Портфель!H48*Портфель!$Q$13</f>
      </c>
      <c r="L373" s="6" t="s">
        <f>=E373*K373</f>
      </c>
      <c r="M373" s="6" t="s">
        <f>=(K373-J373)*E373</f>
      </c>
      <c r="N373" s="6" t="s">
        <f>=MAX(0,M373*0.13)</f>
      </c>
    </row>
    <row collapsed="false" customFormat="false" customHeight="false" hidden="false" ht="12.1" outlineLevel="0" r="374">
      <c r="A374" s="36" t="n">
        <v>45931</v>
      </c>
      <c r="B374" s="16" t="s">
        <v>1375</v>
      </c>
      <c r="C374" s="16" t="s">
        <v>145</v>
      </c>
      <c r="D374" s="16" t="s">
        <v>146</v>
      </c>
      <c r="E374" s="17" t="n">
        <v>1</v>
      </c>
      <c r="F374" s="7" t="s">
        <f>=DATEDIF(A374,$O$2,"y")</f>
      </c>
      <c r="G374" s="7" t="s">
        <f>=DATEDIF(A374,$O$2,"ym")</f>
      </c>
      <c r="H374" s="7" t="s">
        <f>=DATEDIF(A374,$O$2,"md")</f>
      </c>
      <c r="I374" s="7" t="n">
        <v>147</v>
      </c>
      <c r="J374" s="17" t="n">
        <v>890.54</v>
      </c>
      <c r="K374" s="6" t="s">
        <f>=Портфель!F48*Портфель!G48/100*Портфель!$Q$13+Портфель!H48*Портфель!$Q$13</f>
      </c>
      <c r="L374" s="6" t="s">
        <f>=E374*K374</f>
      </c>
      <c r="M374" s="6" t="s">
        <f>=(K374-J374)*E374</f>
      </c>
      <c r="N374" s="6" t="s">
        <f>=MAX(0,M374*0.13)</f>
      </c>
    </row>
    <row collapsed="false" customFormat="false" customHeight="false" hidden="false" ht="12.1" outlineLevel="0" r="375">
      <c r="A375" s="36" t="n">
        <v>45959</v>
      </c>
      <c r="B375" s="16" t="s">
        <v>1375</v>
      </c>
      <c r="C375" s="16" t="s">
        <v>145</v>
      </c>
      <c r="D375" s="16" t="s">
        <v>146</v>
      </c>
      <c r="E375" s="17" t="n">
        <v>1</v>
      </c>
      <c r="F375" s="7" t="s">
        <f>=DATEDIF(A375,$O$2,"y")</f>
      </c>
      <c r="G375" s="7" t="s">
        <f>=DATEDIF(A375,$O$2,"ym")</f>
      </c>
      <c r="H375" s="7" t="s">
        <f>=DATEDIF(A375,$O$2,"md")</f>
      </c>
      <c r="I375" s="7" t="n">
        <v>119</v>
      </c>
      <c r="J375" s="17" t="n">
        <v>899.29</v>
      </c>
      <c r="K375" s="6" t="s">
        <f>=Портфель!F48*Портфель!G48/100*Портфель!$Q$13+Портфель!H48*Портфель!$Q$13</f>
      </c>
      <c r="L375" s="6" t="s">
        <f>=E375*K375</f>
      </c>
      <c r="M375" s="6" t="s">
        <f>=(K375-J375)*E375</f>
      </c>
      <c r="N375" s="6" t="s">
        <f>=MAX(0,M375*0.13)</f>
      </c>
    </row>
    <row collapsed="false" customFormat="false" customHeight="false" hidden="false" ht="12.1" outlineLevel="0" r="376">
      <c r="A376" s="36" t="n">
        <v>45959</v>
      </c>
      <c r="B376" s="16" t="s">
        <v>1375</v>
      </c>
      <c r="C376" s="16" t="s">
        <v>145</v>
      </c>
      <c r="D376" s="16" t="s">
        <v>146</v>
      </c>
      <c r="E376" s="17" t="n">
        <v>1</v>
      </c>
      <c r="F376" s="7" t="s">
        <f>=DATEDIF(A376,$O$2,"y")</f>
      </c>
      <c r="G376" s="7" t="s">
        <f>=DATEDIF(A376,$O$2,"ym")</f>
      </c>
      <c r="H376" s="7" t="s">
        <f>=DATEDIF(A376,$O$2,"md")</f>
      </c>
      <c r="I376" s="7" t="n">
        <v>119</v>
      </c>
      <c r="J376" s="17" t="n">
        <v>899.29</v>
      </c>
      <c r="K376" s="6" t="s">
        <f>=Портфель!F48*Портфель!G48/100*Портфель!$Q$13+Портфель!H48*Портфель!$Q$13</f>
      </c>
      <c r="L376" s="6" t="s">
        <f>=E376*K376</f>
      </c>
      <c r="M376" s="6" t="s">
        <f>=(K376-J376)*E376</f>
      </c>
      <c r="N376" s="6" t="s">
        <f>=MAX(0,M376*0.13)</f>
      </c>
    </row>
    <row collapsed="false" customFormat="false" customHeight="false" hidden="false" ht="12.1" outlineLevel="0" r="377">
      <c r="A377" s="36" t="n">
        <v>46027</v>
      </c>
      <c r="B377" s="16" t="s">
        <v>1375</v>
      </c>
      <c r="C377" s="16" t="s">
        <v>145</v>
      </c>
      <c r="D377" s="16" t="s">
        <v>146</v>
      </c>
      <c r="E377" s="17" t="n">
        <v>1</v>
      </c>
      <c r="F377" s="7" t="s">
        <f>=DATEDIF(A377,$O$2,"y")</f>
      </c>
      <c r="G377" s="7" t="s">
        <f>=DATEDIF(A377,$O$2,"ym")</f>
      </c>
      <c r="H377" s="7" t="s">
        <f>=DATEDIF(A377,$O$2,"md")</f>
      </c>
      <c r="I377" s="7" t="n">
        <v>51</v>
      </c>
      <c r="J377" s="17" t="n">
        <v>881.08</v>
      </c>
      <c r="K377" s="6" t="s">
        <f>=Портфель!F48*Портфель!G48/100*Портфель!$Q$13+Портфель!H48*Портфель!$Q$13</f>
      </c>
      <c r="L377" s="6" t="s">
        <f>=E377*K377</f>
      </c>
      <c r="M377" s="6" t="s">
        <f>=(K377-J377)*E377</f>
      </c>
      <c r="N377" s="6" t="s">
        <f>=MAX(0,M377*0.13)</f>
      </c>
    </row>
    <row collapsed="false" customFormat="false" customHeight="false" hidden="false" ht="12.1" outlineLevel="0" r="378">
      <c r="A378" s="36" t="n">
        <v>46027</v>
      </c>
      <c r="B378" s="16" t="s">
        <v>1375</v>
      </c>
      <c r="C378" s="16" t="s">
        <v>145</v>
      </c>
      <c r="D378" s="16" t="s">
        <v>146</v>
      </c>
      <c r="E378" s="17" t="n">
        <v>1</v>
      </c>
      <c r="F378" s="7" t="s">
        <f>=DATEDIF(A378,$O$2,"y")</f>
      </c>
      <c r="G378" s="7" t="s">
        <f>=DATEDIF(A378,$O$2,"ym")</f>
      </c>
      <c r="H378" s="7" t="s">
        <f>=DATEDIF(A378,$O$2,"md")</f>
      </c>
      <c r="I378" s="7" t="n">
        <v>51</v>
      </c>
      <c r="J378" s="17" t="n">
        <v>881.08</v>
      </c>
      <c r="K378" s="6" t="s">
        <f>=Портфель!F48*Портфель!G48/100*Портфель!$Q$13+Портфель!H48*Портфель!$Q$13</f>
      </c>
      <c r="L378" s="6" t="s">
        <f>=E378*K378</f>
      </c>
      <c r="M378" s="6" t="s">
        <f>=(K378-J378)*E378</f>
      </c>
      <c r="N378" s="6" t="s">
        <f>=MAX(0,M378*0.13)</f>
      </c>
    </row>
    <row collapsed="false" customFormat="false" customHeight="false" hidden="false" ht="12.1" outlineLevel="0" r="379">
      <c r="A379" s="36" t="n">
        <v>45959</v>
      </c>
      <c r="B379" s="16" t="s">
        <v>1375</v>
      </c>
      <c r="C379" s="16" t="s">
        <v>148</v>
      </c>
      <c r="D379" s="16" t="s">
        <v>149</v>
      </c>
      <c r="E379" s="17" t="n">
        <v>1</v>
      </c>
      <c r="F379" s="7" t="s">
        <f>=DATEDIF(A379,$O$2,"y")</f>
      </c>
      <c r="G379" s="7" t="s">
        <f>=DATEDIF(A379,$O$2,"ym")</f>
      </c>
      <c r="H379" s="7" t="s">
        <f>=DATEDIF(A379,$O$2,"md")</f>
      </c>
      <c r="I379" s="7" t="n">
        <v>119</v>
      </c>
      <c r="J379" s="17" t="n">
        <v>885.1</v>
      </c>
      <c r="K379" s="6" t="s">
        <f>=Портфель!F49*Портфель!G49/100*Портфель!$Q$13+Портфель!H49*Портфель!$Q$13</f>
      </c>
      <c r="L379" s="6" t="s">
        <f>=E379*K379</f>
      </c>
      <c r="M379" s="6" t="s">
        <f>=(K379-J379)*E379</f>
      </c>
      <c r="N379" s="6" t="s">
        <f>=MAX(0,M379*0.13)</f>
      </c>
    </row>
    <row collapsed="false" customFormat="false" customHeight="false" hidden="false" ht="12.1" outlineLevel="0" r="380">
      <c r="A380" s="36" t="n">
        <v>45959</v>
      </c>
      <c r="B380" s="16" t="s">
        <v>1375</v>
      </c>
      <c r="C380" s="16" t="s">
        <v>148</v>
      </c>
      <c r="D380" s="16" t="s">
        <v>149</v>
      </c>
      <c r="E380" s="17" t="n">
        <v>1</v>
      </c>
      <c r="F380" s="7" t="s">
        <f>=DATEDIF(A380,$O$2,"y")</f>
      </c>
      <c r="G380" s="7" t="s">
        <f>=DATEDIF(A380,$O$2,"ym")</f>
      </c>
      <c r="H380" s="7" t="s">
        <f>=DATEDIF(A380,$O$2,"md")</f>
      </c>
      <c r="I380" s="7" t="n">
        <v>119</v>
      </c>
      <c r="J380" s="17" t="n">
        <v>885.1</v>
      </c>
      <c r="K380" s="6" t="s">
        <f>=Портфель!F49*Портфель!G49/100*Портфель!$Q$13+Портфель!H49*Портфель!$Q$13</f>
      </c>
      <c r="L380" s="6" t="s">
        <f>=E380*K380</f>
      </c>
      <c r="M380" s="6" t="s">
        <f>=(K380-J380)*E380</f>
      </c>
      <c r="N380" s="6" t="s">
        <f>=MAX(0,M380*0.13)</f>
      </c>
    </row>
    <row collapsed="false" customFormat="false" customHeight="false" hidden="false" ht="12.1" outlineLevel="0" r="381">
      <c r="A381" s="36" t="n">
        <v>45959</v>
      </c>
      <c r="B381" s="16" t="s">
        <v>1375</v>
      </c>
      <c r="C381" s="16" t="s">
        <v>148</v>
      </c>
      <c r="D381" s="16" t="s">
        <v>149</v>
      </c>
      <c r="E381" s="17" t="n">
        <v>1</v>
      </c>
      <c r="F381" s="7" t="s">
        <f>=DATEDIF(A381,$O$2,"y")</f>
      </c>
      <c r="G381" s="7" t="s">
        <f>=DATEDIF(A381,$O$2,"ym")</f>
      </c>
      <c r="H381" s="7" t="s">
        <f>=DATEDIF(A381,$O$2,"md")</f>
      </c>
      <c r="I381" s="7" t="n">
        <v>119</v>
      </c>
      <c r="J381" s="17" t="n">
        <v>885.2</v>
      </c>
      <c r="K381" s="6" t="s">
        <f>=Портфель!F49*Портфель!G49/100*Портфель!$Q$13+Портфель!H49*Портфель!$Q$13</f>
      </c>
      <c r="L381" s="6" t="s">
        <f>=E381*K381</f>
      </c>
      <c r="M381" s="6" t="s">
        <f>=(K381-J381)*E381</f>
      </c>
      <c r="N381" s="6" t="s">
        <f>=MAX(0,M381*0.13)</f>
      </c>
    </row>
    <row collapsed="false" customFormat="false" customHeight="false" hidden="false" ht="12.1" outlineLevel="0" r="382">
      <c r="A382" s="36" t="n">
        <v>46027</v>
      </c>
      <c r="B382" s="16" t="s">
        <v>1375</v>
      </c>
      <c r="C382" s="16" t="s">
        <v>148</v>
      </c>
      <c r="D382" s="16" t="s">
        <v>149</v>
      </c>
      <c r="E382" s="17" t="n">
        <v>1</v>
      </c>
      <c r="F382" s="7" t="s">
        <f>=DATEDIF(A382,$O$2,"y")</f>
      </c>
      <c r="G382" s="7" t="s">
        <f>=DATEDIF(A382,$O$2,"ym")</f>
      </c>
      <c r="H382" s="7" t="s">
        <f>=DATEDIF(A382,$O$2,"md")</f>
      </c>
      <c r="I382" s="7" t="n">
        <v>51</v>
      </c>
      <c r="J382" s="17" t="n">
        <v>869.66</v>
      </c>
      <c r="K382" s="6" t="s">
        <f>=Портфель!F49*Портфель!G49/100*Портфель!$Q$13+Портфель!H49*Портфель!$Q$13</f>
      </c>
      <c r="L382" s="6" t="s">
        <f>=E382*K382</f>
      </c>
      <c r="M382" s="6" t="s">
        <f>=(K382-J382)*E382</f>
      </c>
      <c r="N382" s="6" t="s">
        <f>=MAX(0,M382*0.13)</f>
      </c>
    </row>
    <row collapsed="false" customFormat="false" customHeight="false" hidden="false" ht="12.1" outlineLevel="0" r="383">
      <c r="A383" s="36" t="n">
        <v>46027</v>
      </c>
      <c r="B383" s="16" t="s">
        <v>1375</v>
      </c>
      <c r="C383" s="16" t="s">
        <v>148</v>
      </c>
      <c r="D383" s="16" t="s">
        <v>149</v>
      </c>
      <c r="E383" s="17" t="n">
        <v>1</v>
      </c>
      <c r="F383" s="7" t="s">
        <f>=DATEDIF(A383,$O$2,"y")</f>
      </c>
      <c r="G383" s="7" t="s">
        <f>=DATEDIF(A383,$O$2,"ym")</f>
      </c>
      <c r="H383" s="7" t="s">
        <f>=DATEDIF(A383,$O$2,"md")</f>
      </c>
      <c r="I383" s="7" t="n">
        <v>51</v>
      </c>
      <c r="J383" s="17" t="n">
        <v>869.65</v>
      </c>
      <c r="K383" s="6" t="s">
        <f>=Портфель!F49*Портфель!G49/100*Портфель!$Q$13+Портфель!H49*Портфель!$Q$13</f>
      </c>
      <c r="L383" s="6" t="s">
        <f>=E383*K383</f>
      </c>
      <c r="M383" s="6" t="s">
        <f>=(K383-J383)*E383</f>
      </c>
      <c r="N383" s="6" t="s">
        <f>=MAX(0,M383*0.13)</f>
      </c>
    </row>
    <row collapsed="false" customFormat="false" customHeight="false" hidden="false" ht="12.1" outlineLevel="0" r="384">
      <c r="A384" s="36" t="n">
        <v>46027</v>
      </c>
      <c r="B384" s="16" t="s">
        <v>1375</v>
      </c>
      <c r="C384" s="16" t="s">
        <v>148</v>
      </c>
      <c r="D384" s="16" t="s">
        <v>149</v>
      </c>
      <c r="E384" s="17" t="n">
        <v>1</v>
      </c>
      <c r="F384" s="7" t="s">
        <f>=DATEDIF(A384,$O$2,"y")</f>
      </c>
      <c r="G384" s="7" t="s">
        <f>=DATEDIF(A384,$O$2,"ym")</f>
      </c>
      <c r="H384" s="7" t="s">
        <f>=DATEDIF(A384,$O$2,"md")</f>
      </c>
      <c r="I384" s="7" t="n">
        <v>51</v>
      </c>
      <c r="J384" s="17" t="n">
        <v>869.65</v>
      </c>
      <c r="K384" s="6" t="s">
        <f>=Портфель!F49*Портфель!G49/100*Портфель!$Q$13+Портфель!H49*Портфель!$Q$13</f>
      </c>
      <c r="L384" s="6" t="s">
        <f>=E384*K384</f>
      </c>
      <c r="M384" s="6" t="s">
        <f>=(K384-J384)*E384</f>
      </c>
      <c r="N384" s="6" t="s">
        <f>=MAX(0,M384*0.13)</f>
      </c>
    </row>
    <row collapsed="false" customFormat="false" customHeight="false" hidden="false" ht="12.1" outlineLevel="0" r="385">
      <c r="A385" s="36" t="n">
        <v>45670</v>
      </c>
      <c r="B385" s="16" t="s">
        <v>1375</v>
      </c>
      <c r="C385" s="16" t="s">
        <v>151</v>
      </c>
      <c r="D385" s="16" t="s">
        <v>152</v>
      </c>
      <c r="E385" s="17" t="n">
        <v>1</v>
      </c>
      <c r="F385" s="7" t="s">
        <f>=DATEDIF(A385,$O$2,"y")</f>
      </c>
      <c r="G385" s="7" t="s">
        <f>=DATEDIF(A385,$O$2,"ym")</f>
      </c>
      <c r="H385" s="7" t="s">
        <f>=DATEDIF(A385,$O$2,"md")</f>
      </c>
      <c r="I385" s="7" t="n">
        <v>408</v>
      </c>
      <c r="J385" s="17" t="n">
        <v>829.97</v>
      </c>
      <c r="K385" s="6" t="s">
        <f>=Портфель!F50*Портфель!G50/100*Портфель!$Q$13+Портфель!H50*Портфель!$Q$13</f>
      </c>
      <c r="L385" s="6" t="s">
        <f>=E385*K385</f>
      </c>
      <c r="M385" s="6" t="s">
        <f>=(K385-J385)*E385</f>
      </c>
      <c r="N385" s="6" t="s">
        <f>=MAX(0,M385*0.13)</f>
      </c>
    </row>
    <row collapsed="false" customFormat="false" customHeight="false" hidden="false" ht="12.1" outlineLevel="0" r="386">
      <c r="A386" s="36" t="n">
        <v>45670</v>
      </c>
      <c r="B386" s="16" t="s">
        <v>1375</v>
      </c>
      <c r="C386" s="16" t="s">
        <v>151</v>
      </c>
      <c r="D386" s="16" t="s">
        <v>152</v>
      </c>
      <c r="E386" s="17" t="n">
        <v>1</v>
      </c>
      <c r="F386" s="7" t="s">
        <f>=DATEDIF(A386,$O$2,"y")</f>
      </c>
      <c r="G386" s="7" t="s">
        <f>=DATEDIF(A386,$O$2,"ym")</f>
      </c>
      <c r="H386" s="7" t="s">
        <f>=DATEDIF(A386,$O$2,"md")</f>
      </c>
      <c r="I386" s="7" t="n">
        <v>408</v>
      </c>
      <c r="J386" s="17" t="n">
        <v>830.27</v>
      </c>
      <c r="K386" s="6" t="s">
        <f>=Портфель!F50*Портфель!G50/100*Портфель!$Q$13+Портфель!H50*Портфель!$Q$13</f>
      </c>
      <c r="L386" s="6" t="s">
        <f>=E386*K386</f>
      </c>
      <c r="M386" s="6" t="s">
        <f>=(K386-J386)*E386</f>
      </c>
      <c r="N386" s="6" t="s">
        <f>=MAX(0,M386*0.13)</f>
      </c>
    </row>
    <row collapsed="false" customFormat="false" customHeight="false" hidden="false" ht="12.1" outlineLevel="0" r="387">
      <c r="A387" s="36" t="n">
        <v>45670</v>
      </c>
      <c r="B387" s="16" t="s">
        <v>1375</v>
      </c>
      <c r="C387" s="16" t="s">
        <v>151</v>
      </c>
      <c r="D387" s="16" t="s">
        <v>152</v>
      </c>
      <c r="E387" s="17" t="n">
        <v>1</v>
      </c>
      <c r="F387" s="7" t="s">
        <f>=DATEDIF(A387,$O$2,"y")</f>
      </c>
      <c r="G387" s="7" t="s">
        <f>=DATEDIF(A387,$O$2,"ym")</f>
      </c>
      <c r="H387" s="7" t="s">
        <f>=DATEDIF(A387,$O$2,"md")</f>
      </c>
      <c r="I387" s="7" t="n">
        <v>408</v>
      </c>
      <c r="J387" s="17" t="n">
        <v>829.97</v>
      </c>
      <c r="K387" s="6" t="s">
        <f>=Портфель!F50*Портфель!G50/100*Портфель!$Q$13+Портфель!H50*Портфель!$Q$13</f>
      </c>
      <c r="L387" s="6" t="s">
        <f>=E387*K387</f>
      </c>
      <c r="M387" s="6" t="s">
        <f>=(K387-J387)*E387</f>
      </c>
      <c r="N387" s="6" t="s">
        <f>=MAX(0,M387*0.13)</f>
      </c>
    </row>
    <row collapsed="false" customFormat="false" customHeight="false" hidden="false" ht="12.1" outlineLevel="0" r="388">
      <c r="A388" s="36" t="n">
        <v>45813</v>
      </c>
      <c r="B388" s="16" t="s">
        <v>1375</v>
      </c>
      <c r="C388" s="16" t="s">
        <v>151</v>
      </c>
      <c r="D388" s="16" t="s">
        <v>152</v>
      </c>
      <c r="E388" s="17" t="n">
        <v>1</v>
      </c>
      <c r="F388" s="7" t="s">
        <f>=DATEDIF(A388,$O$2,"y")</f>
      </c>
      <c r="G388" s="7" t="s">
        <f>=DATEDIF(A388,$O$2,"ym")</f>
      </c>
      <c r="H388" s="7" t="s">
        <f>=DATEDIF(A388,$O$2,"md")</f>
      </c>
      <c r="I388" s="7" t="n">
        <v>265</v>
      </c>
      <c r="J388" s="17" t="n">
        <v>922.86</v>
      </c>
      <c r="K388" s="6" t="s">
        <f>=Портфель!F50*Портфель!G50/100*Портфель!$Q$13+Портфель!H50*Портфель!$Q$13</f>
      </c>
      <c r="L388" s="6" t="s">
        <f>=E388*K388</f>
      </c>
      <c r="M388" s="6" t="s">
        <f>=(K388-J388)*E388</f>
      </c>
      <c r="N388" s="6" t="s">
        <f>=MAX(0,M388*0.13)</f>
      </c>
    </row>
    <row collapsed="false" customFormat="false" customHeight="false" hidden="false" ht="12.1" outlineLevel="0" r="389">
      <c r="A389" s="36" t="n">
        <v>46055</v>
      </c>
      <c r="B389" s="16" t="s">
        <v>1375</v>
      </c>
      <c r="C389" s="16" t="s">
        <v>151</v>
      </c>
      <c r="D389" s="16" t="s">
        <v>152</v>
      </c>
      <c r="E389" s="17" t="n">
        <v>1</v>
      </c>
      <c r="F389" s="7" t="s">
        <f>=DATEDIF(A389,$O$2,"y")</f>
      </c>
      <c r="G389" s="7" t="s">
        <f>=DATEDIF(A389,$O$2,"ym")</f>
      </c>
      <c r="H389" s="7" t="s">
        <f>=DATEDIF(A389,$O$2,"md")</f>
      </c>
      <c r="I389" s="7" t="n">
        <v>23</v>
      </c>
      <c r="J389" s="17" t="n">
        <v>931.4</v>
      </c>
      <c r="K389" s="6" t="s">
        <f>=Портфель!F50*Портфель!G50/100*Портфель!$Q$13+Портфель!H50*Портфель!$Q$13</f>
      </c>
      <c r="L389" s="6" t="s">
        <f>=E389*K389</f>
      </c>
      <c r="M389" s="6" t="s">
        <f>=(K389-J389)*E389</f>
      </c>
      <c r="N389" s="6" t="s">
        <f>=MAX(0,M389*0.13)</f>
      </c>
    </row>
    <row collapsed="false" customFormat="false" customHeight="false" hidden="false" ht="12.1" outlineLevel="0" r="390">
      <c r="A390" s="36" t="n">
        <v>45447</v>
      </c>
      <c r="B390" s="16" t="s">
        <v>1375</v>
      </c>
      <c r="C390" s="16" t="s">
        <v>154</v>
      </c>
      <c r="D390" s="16" t="s">
        <v>155</v>
      </c>
      <c r="E390" s="17" t="n">
        <v>1</v>
      </c>
      <c r="F390" s="7" t="s">
        <f>=DATEDIF(A390,$O$2,"y")</f>
      </c>
      <c r="G390" s="7" t="s">
        <f>=DATEDIF(A390,$O$2,"ym")</f>
      </c>
      <c r="H390" s="7" t="s">
        <f>=DATEDIF(A390,$O$2,"md")</f>
      </c>
      <c r="I390" s="7" t="n">
        <v>631</v>
      </c>
      <c r="J390" s="17" t="n">
        <v>692.44</v>
      </c>
      <c r="K390" s="6" t="s">
        <f>=Портфель!F51*Портфель!G51/100*Портфель!$Q$13+Портфель!H51*Портфель!$Q$13</f>
      </c>
      <c r="L390" s="6" t="s">
        <f>=E390*K390</f>
      </c>
      <c r="M390" s="6" t="s">
        <f>=(K390-J390)*E390</f>
      </c>
      <c r="N390" s="6" t="s">
        <f>=MAX(0,M390*0.13)</f>
      </c>
    </row>
    <row collapsed="false" customFormat="false" customHeight="false" hidden="false" ht="12.1" outlineLevel="0" r="391">
      <c r="A391" s="36" t="n">
        <v>45506</v>
      </c>
      <c r="B391" s="16" t="s">
        <v>1375</v>
      </c>
      <c r="C391" s="16" t="s">
        <v>154</v>
      </c>
      <c r="D391" s="16" t="s">
        <v>155</v>
      </c>
      <c r="E391" s="17" t="n">
        <v>1</v>
      </c>
      <c r="F391" s="7" t="s">
        <f>=DATEDIF(A391,$O$2,"y")</f>
      </c>
      <c r="G391" s="7" t="s">
        <f>=DATEDIF(A391,$O$2,"ym")</f>
      </c>
      <c r="H391" s="7" t="s">
        <f>=DATEDIF(A391,$O$2,"md")</f>
      </c>
      <c r="I391" s="7" t="n">
        <v>572</v>
      </c>
      <c r="J391" s="17" t="n">
        <v>646.87</v>
      </c>
      <c r="K391" s="6" t="s">
        <f>=Портфель!F51*Портфель!G51/100*Портфель!$Q$13+Портфель!H51*Портфель!$Q$13</f>
      </c>
      <c r="L391" s="6" t="s">
        <f>=E391*K391</f>
      </c>
      <c r="M391" s="6" t="s">
        <f>=(K391-J391)*E391</f>
      </c>
      <c r="N391" s="6" t="s">
        <f>=MAX(0,M391*0.13)</f>
      </c>
    </row>
    <row collapsed="false" customFormat="false" customHeight="false" hidden="false" ht="12.1" outlineLevel="0" r="392">
      <c r="A392" s="36" t="n">
        <v>45566</v>
      </c>
      <c r="B392" s="16" t="s">
        <v>1375</v>
      </c>
      <c r="C392" s="16" t="s">
        <v>154</v>
      </c>
      <c r="D392" s="16" t="s">
        <v>155</v>
      </c>
      <c r="E392" s="17" t="n">
        <v>1</v>
      </c>
      <c r="F392" s="7" t="s">
        <f>=DATEDIF(A392,$O$2,"y")</f>
      </c>
      <c r="G392" s="7" t="s">
        <f>=DATEDIF(A392,$O$2,"ym")</f>
      </c>
      <c r="H392" s="7" t="s">
        <f>=DATEDIF(A392,$O$2,"md")</f>
      </c>
      <c r="I392" s="7" t="n">
        <v>512</v>
      </c>
      <c r="J392" s="17" t="n">
        <v>633.72</v>
      </c>
      <c r="K392" s="6" t="s">
        <f>=Портфель!F51*Портфель!G51/100*Портфель!$Q$13+Портфель!H51*Портфель!$Q$13</f>
      </c>
      <c r="L392" s="6" t="s">
        <f>=E392*K392</f>
      </c>
      <c r="M392" s="6" t="s">
        <f>=(K392-J392)*E392</f>
      </c>
      <c r="N392" s="6" t="s">
        <f>=MAX(0,M392*0.13)</f>
      </c>
    </row>
    <row collapsed="false" customFormat="false" customHeight="false" hidden="false" ht="12.1" outlineLevel="0" r="393">
      <c r="A393" s="36" t="n">
        <v>45566</v>
      </c>
      <c r="B393" s="16" t="s">
        <v>1375</v>
      </c>
      <c r="C393" s="16" t="s">
        <v>154</v>
      </c>
      <c r="D393" s="16" t="s">
        <v>155</v>
      </c>
      <c r="E393" s="17" t="n">
        <v>1</v>
      </c>
      <c r="F393" s="7" t="s">
        <f>=DATEDIF(A393,$O$2,"y")</f>
      </c>
      <c r="G393" s="7" t="s">
        <f>=DATEDIF(A393,$O$2,"ym")</f>
      </c>
      <c r="H393" s="7" t="s">
        <f>=DATEDIF(A393,$O$2,"md")</f>
      </c>
      <c r="I393" s="7" t="n">
        <v>512</v>
      </c>
      <c r="J393" s="17" t="n">
        <v>633.73</v>
      </c>
      <c r="K393" s="6" t="s">
        <f>=Портфель!F51*Портфель!G51/100*Портфель!$Q$13+Портфель!H51*Портфель!$Q$13</f>
      </c>
      <c r="L393" s="6" t="s">
        <f>=E393*K393</f>
      </c>
      <c r="M393" s="6" t="s">
        <f>=(K393-J393)*E393</f>
      </c>
      <c r="N393" s="6" t="s">
        <f>=MAX(0,M393*0.13)</f>
      </c>
    </row>
    <row collapsed="false" customFormat="false" customHeight="false" hidden="false" ht="12.1" outlineLevel="0" r="394">
      <c r="A394" s="36" t="n">
        <v>45959</v>
      </c>
      <c r="B394" s="16" t="s">
        <v>1375</v>
      </c>
      <c r="C394" s="16" t="s">
        <v>154</v>
      </c>
      <c r="D394" s="16" t="s">
        <v>155</v>
      </c>
      <c r="E394" s="17" t="n">
        <v>1</v>
      </c>
      <c r="F394" s="7" t="s">
        <f>=DATEDIF(A394,$O$2,"y")</f>
      </c>
      <c r="G394" s="7" t="s">
        <f>=DATEDIF(A394,$O$2,"ym")</f>
      </c>
      <c r="H394" s="7" t="s">
        <f>=DATEDIF(A394,$O$2,"md")</f>
      </c>
      <c r="I394" s="7" t="n">
        <v>119</v>
      </c>
      <c r="J394" s="17" t="n">
        <v>725.28</v>
      </c>
      <c r="K394" s="6" t="s">
        <f>=Портфель!F51*Портфель!G51/100*Портфель!$Q$13+Портфель!H51*Портфель!$Q$13</f>
      </c>
      <c r="L394" s="6" t="s">
        <f>=E394*K394</f>
      </c>
      <c r="M394" s="6" t="s">
        <f>=(K394-J394)*E394</f>
      </c>
      <c r="N394" s="6" t="s">
        <f>=MAX(0,M394*0.13)</f>
      </c>
    </row>
    <row collapsed="false" customFormat="false" customHeight="false" hidden="false" ht="12.1" outlineLevel="0" r="395">
      <c r="A395" s="36" t="n">
        <v>45959</v>
      </c>
      <c r="B395" s="16" t="s">
        <v>1375</v>
      </c>
      <c r="C395" s="16" t="s">
        <v>154</v>
      </c>
      <c r="D395" s="16" t="s">
        <v>155</v>
      </c>
      <c r="E395" s="17" t="n">
        <v>1</v>
      </c>
      <c r="F395" s="7" t="s">
        <f>=DATEDIF(A395,$O$2,"y")</f>
      </c>
      <c r="G395" s="7" t="s">
        <f>=DATEDIF(A395,$O$2,"ym")</f>
      </c>
      <c r="H395" s="7" t="s">
        <f>=DATEDIF(A395,$O$2,"md")</f>
      </c>
      <c r="I395" s="7" t="n">
        <v>119</v>
      </c>
      <c r="J395" s="17" t="n">
        <v>725.24</v>
      </c>
      <c r="K395" s="6" t="s">
        <f>=Портфель!F51*Портфель!G51/100*Портфель!$Q$13+Портфель!H51*Портфель!$Q$13</f>
      </c>
      <c r="L395" s="6" t="s">
        <f>=E395*K395</f>
      </c>
      <c r="M395" s="6" t="s">
        <f>=(K395-J395)*E395</f>
      </c>
      <c r="N395" s="6" t="s">
        <f>=MAX(0,M395*0.13)</f>
      </c>
    </row>
    <row collapsed="false" customFormat="false" customHeight="false" hidden="false" ht="12.1" outlineLevel="0" r="396">
      <c r="A396" s="36" t="n">
        <v>45009</v>
      </c>
      <c r="B396" s="16" t="s">
        <v>1375</v>
      </c>
      <c r="C396" s="16" t="s">
        <v>157</v>
      </c>
      <c r="D396" s="16" t="s">
        <v>158</v>
      </c>
      <c r="E396" s="17" t="n">
        <v>1</v>
      </c>
      <c r="F396" s="7" t="s">
        <f>=DATEDIF(A396,$O$2,"y")</f>
      </c>
      <c r="G396" s="7" t="s">
        <f>=DATEDIF(A396,$O$2,"ym")</f>
      </c>
      <c r="H396" s="7" t="s">
        <f>=DATEDIF(A396,$O$2,"md")</f>
      </c>
      <c r="I396" s="7" t="n">
        <v>1069</v>
      </c>
      <c r="J396" s="17" t="n">
        <v>1151.69</v>
      </c>
      <c r="K396" s="6" t="s">
        <f>=Портфель!F52*Портфель!G52/100*Портфель!$Q$13+Портфель!H52*Портфель!$Q$13</f>
      </c>
      <c r="L396" s="6" t="s">
        <f>=E396*K396</f>
      </c>
      <c r="M396" s="6" t="s">
        <f>=(K396-J396)*E396</f>
      </c>
      <c r="N396" s="6" t="s">
        <f>=MAX(0,M396*0.13)</f>
      </c>
    </row>
    <row collapsed="false" customFormat="false" customHeight="false" hidden="false" ht="12.1" outlineLevel="0" r="397">
      <c r="A397" s="36" t="n">
        <v>45026</v>
      </c>
      <c r="B397" s="16" t="s">
        <v>1375</v>
      </c>
      <c r="C397" s="16" t="s">
        <v>157</v>
      </c>
      <c r="D397" s="16" t="s">
        <v>158</v>
      </c>
      <c r="E397" s="17" t="n">
        <v>1</v>
      </c>
      <c r="F397" s="7" t="s">
        <f>=DATEDIF(A397,$O$2,"y")</f>
      </c>
      <c r="G397" s="7" t="s">
        <f>=DATEDIF(A397,$O$2,"ym")</f>
      </c>
      <c r="H397" s="7" t="s">
        <f>=DATEDIF(A397,$O$2,"md")</f>
      </c>
      <c r="I397" s="7" t="n">
        <v>1052</v>
      </c>
      <c r="J397" s="17" t="n">
        <v>1141.72</v>
      </c>
      <c r="K397" s="6" t="s">
        <f>=Портфель!F52*Портфель!G52/100*Портфель!$Q$13+Портфель!H52*Портфель!$Q$13</f>
      </c>
      <c r="L397" s="6" t="s">
        <f>=E397*K397</f>
      </c>
      <c r="M397" s="6" t="s">
        <f>=(K397-J397)*E397</f>
      </c>
      <c r="N397" s="6" t="s">
        <f>=MAX(0,M397*0.13)</f>
      </c>
    </row>
    <row collapsed="false" customFormat="false" customHeight="false" hidden="false" ht="12.1" outlineLevel="0" r="398">
      <c r="A398" s="36" t="n">
        <v>45030</v>
      </c>
      <c r="B398" s="16" t="s">
        <v>1375</v>
      </c>
      <c r="C398" s="16" t="s">
        <v>157</v>
      </c>
      <c r="D398" s="16" t="s">
        <v>158</v>
      </c>
      <c r="E398" s="17" t="n">
        <v>1</v>
      </c>
      <c r="F398" s="7" t="s">
        <f>=DATEDIF(A398,$O$2,"y")</f>
      </c>
      <c r="G398" s="7" t="s">
        <f>=DATEDIF(A398,$O$2,"ym")</f>
      </c>
      <c r="H398" s="7" t="s">
        <f>=DATEDIF(A398,$O$2,"md")</f>
      </c>
      <c r="I398" s="7" t="n">
        <v>1048</v>
      </c>
      <c r="J398" s="17" t="n">
        <v>1142.12</v>
      </c>
      <c r="K398" s="6" t="s">
        <f>=Портфель!F52*Портфель!G52/100*Портфель!$Q$13+Портфель!H52*Портфель!$Q$13</f>
      </c>
      <c r="L398" s="6" t="s">
        <f>=E398*K398</f>
      </c>
      <c r="M398" s="6" t="s">
        <f>=(K398-J398)*E398</f>
      </c>
      <c r="N398" s="6" t="s">
        <f>=MAX(0,M398*0.13)</f>
      </c>
    </row>
    <row collapsed="false" customFormat="false" customHeight="false" hidden="false" ht="12.1" outlineLevel="0" r="399">
      <c r="A399" s="36" t="n">
        <v>45114</v>
      </c>
      <c r="B399" s="16" t="s">
        <v>1375</v>
      </c>
      <c r="C399" s="16" t="s">
        <v>157</v>
      </c>
      <c r="D399" s="16" t="s">
        <v>158</v>
      </c>
      <c r="E399" s="17" t="n">
        <v>1</v>
      </c>
      <c r="F399" s="7" t="s">
        <f>=DATEDIF(A399,$O$2,"y")</f>
      </c>
      <c r="G399" s="7" t="s">
        <f>=DATEDIF(A399,$O$2,"ym")</f>
      </c>
      <c r="H399" s="7" t="s">
        <f>=DATEDIF(A399,$O$2,"md")</f>
      </c>
      <c r="I399" s="7" t="n">
        <v>964</v>
      </c>
      <c r="J399" s="17" t="n">
        <v>1163.89</v>
      </c>
      <c r="K399" s="6" t="s">
        <f>=Портфель!F52*Портфель!G52/100*Портфель!$Q$13+Портфель!H52*Портфель!$Q$13</f>
      </c>
      <c r="L399" s="6" t="s">
        <f>=E399*K399</f>
      </c>
      <c r="M399" s="6" t="s">
        <f>=(K399-J399)*E399</f>
      </c>
      <c r="N399" s="6" t="s">
        <f>=MAX(0,M399*0.13)</f>
      </c>
    </row>
    <row collapsed="false" customFormat="false" customHeight="false" hidden="false" ht="12.1" outlineLevel="0" r="400">
      <c r="A400" s="36" t="n">
        <v>45541</v>
      </c>
      <c r="B400" s="16" t="s">
        <v>1375</v>
      </c>
      <c r="C400" s="16" t="s">
        <v>160</v>
      </c>
      <c r="D400" s="16" t="s">
        <v>161</v>
      </c>
      <c r="E400" s="17" t="n">
        <v>1</v>
      </c>
      <c r="F400" s="7" t="s">
        <f>=DATEDIF(A400,$O$2,"y")</f>
      </c>
      <c r="G400" s="7" t="s">
        <f>=DATEDIF(A400,$O$2,"ym")</f>
      </c>
      <c r="H400" s="7" t="s">
        <f>=DATEDIF(A400,$O$2,"md")</f>
      </c>
      <c r="I400" s="7" t="n">
        <v>537</v>
      </c>
      <c r="J400" s="17" t="n">
        <v>841.44</v>
      </c>
      <c r="K400" s="6" t="s">
        <f>=Портфель!F53*Портфель!G53/100*Портфель!$Q$13+Портфель!H53*Портфель!$Q$13</f>
      </c>
      <c r="L400" s="6" t="s">
        <f>=E400*K400</f>
      </c>
      <c r="M400" s="6" t="s">
        <f>=(K400-J400)*E400</f>
      </c>
      <c r="N400" s="6" t="s">
        <f>=MAX(0,M400*0.13)</f>
      </c>
    </row>
    <row collapsed="false" customFormat="false" customHeight="false" hidden="false" ht="12.1" outlineLevel="0" r="401">
      <c r="A401" s="36" t="n">
        <v>45670</v>
      </c>
      <c r="B401" s="16" t="s">
        <v>1375</v>
      </c>
      <c r="C401" s="16" t="s">
        <v>160</v>
      </c>
      <c r="D401" s="16" t="s">
        <v>161</v>
      </c>
      <c r="E401" s="17" t="n">
        <v>1</v>
      </c>
      <c r="F401" s="7" t="s">
        <f>=DATEDIF(A401,$O$2,"y")</f>
      </c>
      <c r="G401" s="7" t="s">
        <f>=DATEDIF(A401,$O$2,"ym")</f>
      </c>
      <c r="H401" s="7" t="s">
        <f>=DATEDIF(A401,$O$2,"md")</f>
      </c>
      <c r="I401" s="7" t="n">
        <v>408</v>
      </c>
      <c r="J401" s="17" t="n">
        <v>885.54</v>
      </c>
      <c r="K401" s="6" t="s">
        <f>=Портфель!F53*Портфель!G53/100*Портфель!$Q$13+Портфель!H53*Портфель!$Q$13</f>
      </c>
      <c r="L401" s="6" t="s">
        <f>=E401*K401</f>
      </c>
      <c r="M401" s="6" t="s">
        <f>=(K401-J401)*E401</f>
      </c>
      <c r="N401" s="6" t="s">
        <f>=MAX(0,M401*0.13)</f>
      </c>
    </row>
    <row collapsed="false" customFormat="false" customHeight="false" hidden="false" ht="12.1" outlineLevel="0" r="402">
      <c r="A402" s="36" t="n">
        <v>45670</v>
      </c>
      <c r="B402" s="16" t="s">
        <v>1375</v>
      </c>
      <c r="C402" s="16" t="s">
        <v>160</v>
      </c>
      <c r="D402" s="16" t="s">
        <v>161</v>
      </c>
      <c r="E402" s="17" t="n">
        <v>1</v>
      </c>
      <c r="F402" s="7" t="s">
        <f>=DATEDIF(A402,$O$2,"y")</f>
      </c>
      <c r="G402" s="7" t="s">
        <f>=DATEDIF(A402,$O$2,"ym")</f>
      </c>
      <c r="H402" s="7" t="s">
        <f>=DATEDIF(A402,$O$2,"md")</f>
      </c>
      <c r="I402" s="7" t="n">
        <v>408</v>
      </c>
      <c r="J402" s="17" t="n">
        <v>885.54</v>
      </c>
      <c r="K402" s="6" t="s">
        <f>=Портфель!F53*Портфель!G53/100*Портфель!$Q$13+Портфель!H53*Портфель!$Q$13</f>
      </c>
      <c r="L402" s="6" t="s">
        <f>=E402*K402</f>
      </c>
      <c r="M402" s="6" t="s">
        <f>=(K402-J402)*E402</f>
      </c>
      <c r="N402" s="6" t="s">
        <f>=MAX(0,M402*0.13)</f>
      </c>
    </row>
    <row collapsed="false" customFormat="false" customHeight="false" hidden="false" ht="12.1" outlineLevel="0" r="403">
      <c r="A403" s="36" t="n">
        <v>45813</v>
      </c>
      <c r="B403" s="16" t="s">
        <v>1375</v>
      </c>
      <c r="C403" s="16" t="s">
        <v>160</v>
      </c>
      <c r="D403" s="16" t="s">
        <v>161</v>
      </c>
      <c r="E403" s="17" t="n">
        <v>1</v>
      </c>
      <c r="F403" s="7" t="s">
        <f>=DATEDIF(A403,$O$2,"y")</f>
      </c>
      <c r="G403" s="7" t="s">
        <f>=DATEDIF(A403,$O$2,"ym")</f>
      </c>
      <c r="H403" s="7" t="s">
        <f>=DATEDIF(A403,$O$2,"md")</f>
      </c>
      <c r="I403" s="7" t="n">
        <v>265</v>
      </c>
      <c r="J403" s="17" t="n">
        <v>934.51</v>
      </c>
      <c r="K403" s="6" t="s">
        <f>=Портфель!F53*Портфель!G53/100*Портфель!$Q$13+Портфель!H53*Портфель!$Q$13</f>
      </c>
      <c r="L403" s="6" t="s">
        <f>=E403*K403</f>
      </c>
      <c r="M403" s="6" t="s">
        <f>=(K403-J403)*E403</f>
      </c>
      <c r="N403" s="6" t="s">
        <f>=MAX(0,M403*0.13)</f>
      </c>
    </row>
    <row collapsed="false" customFormat="false" customHeight="false" hidden="false" ht="12.1" outlineLevel="0" r="404">
      <c r="A404" s="36" t="n">
        <v>45356</v>
      </c>
      <c r="B404" s="16" t="s">
        <v>1375</v>
      </c>
      <c r="C404" s="16" t="s">
        <v>163</v>
      </c>
      <c r="D404" s="16" t="s">
        <v>164</v>
      </c>
      <c r="E404" s="17" t="n">
        <v>1</v>
      </c>
      <c r="F404" s="7" t="s">
        <f>=DATEDIF(A404,$O$2,"y")</f>
      </c>
      <c r="G404" s="7" t="s">
        <f>=DATEDIF(A404,$O$2,"ym")</f>
      </c>
      <c r="H404" s="7" t="s">
        <f>=DATEDIF(A404,$O$2,"md")</f>
      </c>
      <c r="I404" s="7" t="n">
        <v>722</v>
      </c>
      <c r="J404" s="17" t="n">
        <v>878.2</v>
      </c>
      <c r="K404" s="6" t="s">
        <f>=Портфель!F54*Портфель!G54/100*Портфель!$Q$13+Портфель!H54*Портфель!$Q$13</f>
      </c>
      <c r="L404" s="6" t="s">
        <f>=E404*K404</f>
      </c>
      <c r="M404" s="6" t="s">
        <f>=(K404-J404)*E404</f>
      </c>
      <c r="N404" s="6" t="s">
        <f>=MAX(0,M404*0.13)</f>
      </c>
    </row>
    <row collapsed="false" customFormat="false" customHeight="false" hidden="false" ht="12.1" outlineLevel="0" r="405">
      <c r="A405" s="36" t="n">
        <v>45447</v>
      </c>
      <c r="B405" s="16" t="s">
        <v>1375</v>
      </c>
      <c r="C405" s="16" t="s">
        <v>163</v>
      </c>
      <c r="D405" s="16" t="s">
        <v>164</v>
      </c>
      <c r="E405" s="17" t="n">
        <v>1</v>
      </c>
      <c r="F405" s="7" t="s">
        <f>=DATEDIF(A405,$O$2,"y")</f>
      </c>
      <c r="G405" s="7" t="s">
        <f>=DATEDIF(A405,$O$2,"ym")</f>
      </c>
      <c r="H405" s="7" t="s">
        <f>=DATEDIF(A405,$O$2,"md")</f>
      </c>
      <c r="I405" s="7" t="n">
        <v>631</v>
      </c>
      <c r="J405" s="17" t="n">
        <v>822.25</v>
      </c>
      <c r="K405" s="6" t="s">
        <f>=Портфель!F54*Портфель!G54/100*Портфель!$Q$13+Портфель!H54*Портфель!$Q$13</f>
      </c>
      <c r="L405" s="6" t="s">
        <f>=E405*K405</f>
      </c>
      <c r="M405" s="6" t="s">
        <f>=(K405-J405)*E405</f>
      </c>
      <c r="N405" s="6" t="s">
        <f>=MAX(0,M405*0.13)</f>
      </c>
    </row>
    <row collapsed="false" customFormat="false" customHeight="false" hidden="false" ht="12.1" outlineLevel="0" r="406">
      <c r="A406" s="36" t="n">
        <v>45447</v>
      </c>
      <c r="B406" s="16" t="s">
        <v>1375</v>
      </c>
      <c r="C406" s="16" t="s">
        <v>163</v>
      </c>
      <c r="D406" s="16" t="s">
        <v>164</v>
      </c>
      <c r="E406" s="17" t="n">
        <v>1</v>
      </c>
      <c r="F406" s="7" t="s">
        <f>=DATEDIF(A406,$O$2,"y")</f>
      </c>
      <c r="G406" s="7" t="s">
        <f>=DATEDIF(A406,$O$2,"ym")</f>
      </c>
      <c r="H406" s="7" t="s">
        <f>=DATEDIF(A406,$O$2,"md")</f>
      </c>
      <c r="I406" s="7" t="n">
        <v>631</v>
      </c>
      <c r="J406" s="17" t="n">
        <v>819.83</v>
      </c>
      <c r="K406" s="6" t="s">
        <f>=Портфель!F54*Портфель!G54/100*Портфель!$Q$13+Портфель!H54*Портфель!$Q$13</f>
      </c>
      <c r="L406" s="6" t="s">
        <f>=E406*K406</f>
      </c>
      <c r="M406" s="6" t="s">
        <f>=(K406-J406)*E406</f>
      </c>
      <c r="N406" s="6" t="s">
        <f>=MAX(0,M406*0.13)</f>
      </c>
    </row>
    <row collapsed="false" customFormat="false" customHeight="false" hidden="false" ht="12.1" outlineLevel="0" r="407">
      <c r="A407" s="36" t="n">
        <v>45506</v>
      </c>
      <c r="B407" s="16" t="s">
        <v>1375</v>
      </c>
      <c r="C407" s="16" t="s">
        <v>163</v>
      </c>
      <c r="D407" s="16" t="s">
        <v>164</v>
      </c>
      <c r="E407" s="17" t="n">
        <v>1</v>
      </c>
      <c r="F407" s="7" t="s">
        <f>=DATEDIF(A407,$O$2,"y")</f>
      </c>
      <c r="G407" s="7" t="s">
        <f>=DATEDIF(A407,$O$2,"ym")</f>
      </c>
      <c r="H407" s="7" t="s">
        <f>=DATEDIF(A407,$O$2,"md")</f>
      </c>
      <c r="I407" s="7" t="n">
        <v>572</v>
      </c>
      <c r="J407" s="17" t="n">
        <v>815.29</v>
      </c>
      <c r="K407" s="6" t="s">
        <f>=Портфель!F54*Портфель!G54/100*Портфель!$Q$13+Портфель!H54*Портфель!$Q$13</f>
      </c>
      <c r="L407" s="6" t="s">
        <f>=E407*K407</f>
      </c>
      <c r="M407" s="6" t="s">
        <f>=(K407-J407)*E407</f>
      </c>
      <c r="N407" s="6" t="s">
        <f>=MAX(0,M407*0.13)</f>
      </c>
    </row>
    <row collapsed="false" customFormat="false" customHeight="false" hidden="false" ht="12.1" outlineLevel="0" r="408">
      <c r="A408" s="36" t="n">
        <v>45471</v>
      </c>
      <c r="B408" s="16" t="s">
        <v>1375</v>
      </c>
      <c r="C408" s="16" t="s">
        <v>166</v>
      </c>
      <c r="D408" s="16" t="s">
        <v>167</v>
      </c>
      <c r="E408" s="17" t="n">
        <v>2</v>
      </c>
      <c r="F408" s="7" t="s">
        <f>=DATEDIF(A408,$O$2,"y")</f>
      </c>
      <c r="G408" s="7" t="s">
        <f>=DATEDIF(A408,$O$2,"ym")</f>
      </c>
      <c r="H408" s="7" t="s">
        <f>=DATEDIF(A408,$O$2,"md")</f>
      </c>
      <c r="I408" s="7" t="n">
        <v>607</v>
      </c>
      <c r="J408" s="17" t="n">
        <v>1274.095</v>
      </c>
      <c r="K408" s="6" t="s">
        <f>=Портфель!F55*Портфель!G55/100*Портфель!$Q$13+Портфель!H55*Портфель!$Q$13</f>
      </c>
      <c r="L408" s="6" t="s">
        <f>=E408*K408</f>
      </c>
      <c r="M408" s="6" t="s">
        <f>=(K408-J408)*E408</f>
      </c>
      <c r="N408" s="6" t="s">
        <f>=MAX(0,M408*0.13)</f>
      </c>
    </row>
    <row collapsed="false" customFormat="false" customHeight="false" hidden="false" ht="12.1" outlineLevel="0" r="409">
      <c r="A409" s="36" t="n">
        <v>46027</v>
      </c>
      <c r="B409" s="16" t="s">
        <v>1375</v>
      </c>
      <c r="C409" s="16" t="s">
        <v>169</v>
      </c>
      <c r="D409" s="16" t="s">
        <v>170</v>
      </c>
      <c r="E409" s="17" t="n">
        <v>1</v>
      </c>
      <c r="F409" s="7" t="s">
        <f>=DATEDIF(A409,$O$2,"y")</f>
      </c>
      <c r="G409" s="7" t="s">
        <f>=DATEDIF(A409,$O$2,"ym")</f>
      </c>
      <c r="H409" s="7" t="s">
        <f>=DATEDIF(A409,$O$2,"md")</f>
      </c>
      <c r="I409" s="7" t="n">
        <v>51</v>
      </c>
      <c r="J409" s="17" t="n">
        <v>941.67</v>
      </c>
      <c r="K409" s="6" t="s">
        <f>=Портфель!F56*Портфель!G56/100*Портфель!$Q$13+Портфель!H56*Портфель!$Q$13</f>
      </c>
      <c r="L409" s="6" t="s">
        <f>=E409*K409</f>
      </c>
      <c r="M409" s="6" t="s">
        <f>=(K409-J409)*E409</f>
      </c>
      <c r="N409" s="6" t="s">
        <f>=MAX(0,M409*0.13)</f>
      </c>
    </row>
    <row collapsed="false" customFormat="false" customHeight="false" hidden="false" ht="12.1" outlineLevel="0" r="410">
      <c r="A410" s="36" t="n">
        <v>46027</v>
      </c>
      <c r="B410" s="16" t="s">
        <v>1375</v>
      </c>
      <c r="C410" s="16" t="s">
        <v>169</v>
      </c>
      <c r="D410" s="16" t="s">
        <v>170</v>
      </c>
      <c r="E410" s="17" t="n">
        <v>1</v>
      </c>
      <c r="F410" s="7" t="s">
        <f>=DATEDIF(A410,$O$2,"y")</f>
      </c>
      <c r="G410" s="7" t="s">
        <f>=DATEDIF(A410,$O$2,"ym")</f>
      </c>
      <c r="H410" s="7" t="s">
        <f>=DATEDIF(A410,$O$2,"md")</f>
      </c>
      <c r="I410" s="7" t="n">
        <v>51</v>
      </c>
      <c r="J410" s="17" t="n">
        <v>941.71</v>
      </c>
      <c r="K410" s="6" t="s">
        <f>=Портфель!F56*Портфель!G56/100*Портфель!$Q$13+Портфель!H56*Портфель!$Q$13</f>
      </c>
      <c r="L410" s="6" t="s">
        <f>=E410*K410</f>
      </c>
      <c r="M410" s="6" t="s">
        <f>=(K410-J410)*E410</f>
      </c>
      <c r="N410" s="6" t="s">
        <f>=MAX(0,M410*0.13)</f>
      </c>
    </row>
    <row collapsed="false" customFormat="false" customHeight="false" hidden="false" ht="12.1" outlineLevel="0" r="411">
      <c r="A411" s="36" t="n">
        <v>46027</v>
      </c>
      <c r="B411" s="16" t="s">
        <v>1375</v>
      </c>
      <c r="C411" s="16" t="s">
        <v>169</v>
      </c>
      <c r="D411" s="16" t="s">
        <v>170</v>
      </c>
      <c r="E411" s="17" t="n">
        <v>1</v>
      </c>
      <c r="F411" s="7" t="s">
        <f>=DATEDIF(A411,$O$2,"y")</f>
      </c>
      <c r="G411" s="7" t="s">
        <f>=DATEDIF(A411,$O$2,"ym")</f>
      </c>
      <c r="H411" s="7" t="s">
        <f>=DATEDIF(A411,$O$2,"md")</f>
      </c>
      <c r="I411" s="7" t="n">
        <v>51</v>
      </c>
      <c r="J411" s="17" t="n">
        <v>941.67</v>
      </c>
      <c r="K411" s="6" t="s">
        <f>=Портфель!F56*Портфель!G56/100*Портфель!$Q$13+Портфель!H56*Портфель!$Q$13</f>
      </c>
      <c r="L411" s="6" t="s">
        <f>=E411*K411</f>
      </c>
      <c r="M411" s="6" t="s">
        <f>=(K411-J411)*E411</f>
      </c>
      <c r="N411" s="6" t="s">
        <f>=MAX(0,M411*0.13)</f>
      </c>
    </row>
    <row collapsed="false" customFormat="false" customHeight="false" hidden="false" ht="12.1" outlineLevel="0" r="412">
      <c r="A412" s="36" t="n">
        <v>45541</v>
      </c>
      <c r="B412" s="16" t="s">
        <v>1375</v>
      </c>
      <c r="C412" s="16" t="s">
        <v>172</v>
      </c>
      <c r="D412" s="16" t="s">
        <v>173</v>
      </c>
      <c r="E412" s="17" t="n">
        <v>1</v>
      </c>
      <c r="F412" s="7" t="s">
        <f>=DATEDIF(A412,$O$2,"y")</f>
      </c>
      <c r="G412" s="7" t="s">
        <f>=DATEDIF(A412,$O$2,"ym")</f>
      </c>
      <c r="H412" s="7" t="s">
        <f>=DATEDIF(A412,$O$2,"md")</f>
      </c>
      <c r="I412" s="7" t="n">
        <v>537</v>
      </c>
      <c r="J412" s="17" t="n">
        <v>806.56</v>
      </c>
      <c r="K412" s="6" t="s">
        <f>=Портфель!F57*Портфель!G57/100*Портфель!$Q$13+Портфель!H57*Портфель!$Q$13</f>
      </c>
      <c r="L412" s="6" t="s">
        <f>=E412*K412</f>
      </c>
      <c r="M412" s="6" t="s">
        <f>=(K412-J412)*E412</f>
      </c>
      <c r="N412" s="6" t="s">
        <f>=MAX(0,M412*0.13)</f>
      </c>
    </row>
    <row collapsed="false" customFormat="false" customHeight="false" hidden="false" ht="12.1" outlineLevel="0" r="413">
      <c r="A413" s="36" t="n">
        <v>45670</v>
      </c>
      <c r="B413" s="16" t="s">
        <v>1375</v>
      </c>
      <c r="C413" s="16" t="s">
        <v>172</v>
      </c>
      <c r="D413" s="16" t="s">
        <v>173</v>
      </c>
      <c r="E413" s="17" t="n">
        <v>1</v>
      </c>
      <c r="F413" s="7" t="s">
        <f>=DATEDIF(A413,$O$2,"y")</f>
      </c>
      <c r="G413" s="7" t="s">
        <f>=DATEDIF(A413,$O$2,"ym")</f>
      </c>
      <c r="H413" s="7" t="s">
        <f>=DATEDIF(A413,$O$2,"md")</f>
      </c>
      <c r="I413" s="7" t="n">
        <v>408</v>
      </c>
      <c r="J413" s="17" t="n">
        <v>809</v>
      </c>
      <c r="K413" s="6" t="s">
        <f>=Портфель!F57*Портфель!G57/100*Портфель!$Q$13+Портфель!H57*Портфель!$Q$13</f>
      </c>
      <c r="L413" s="6" t="s">
        <f>=E413*K413</f>
      </c>
      <c r="M413" s="6" t="s">
        <f>=(K413-J413)*E413</f>
      </c>
      <c r="N413" s="6" t="s">
        <f>=MAX(0,M413*0.13)</f>
      </c>
    </row>
    <row collapsed="false" customFormat="false" customHeight="false" hidden="false" ht="12.1" outlineLevel="0" r="414">
      <c r="A414" s="36" t="n">
        <v>45670</v>
      </c>
      <c r="B414" s="16" t="s">
        <v>1375</v>
      </c>
      <c r="C414" s="16" t="s">
        <v>172</v>
      </c>
      <c r="D414" s="16" t="s">
        <v>173</v>
      </c>
      <c r="E414" s="17" t="n">
        <v>1</v>
      </c>
      <c r="F414" s="7" t="s">
        <f>=DATEDIF(A414,$O$2,"y")</f>
      </c>
      <c r="G414" s="7" t="s">
        <f>=DATEDIF(A414,$O$2,"ym")</f>
      </c>
      <c r="H414" s="7" t="s">
        <f>=DATEDIF(A414,$O$2,"md")</f>
      </c>
      <c r="I414" s="7" t="n">
        <v>408</v>
      </c>
      <c r="J414" s="17" t="n">
        <v>808.9</v>
      </c>
      <c r="K414" s="6" t="s">
        <f>=Портфель!F57*Портфель!G57/100*Портфель!$Q$13+Портфель!H57*Портфель!$Q$13</f>
      </c>
      <c r="L414" s="6" t="s">
        <f>=E414*K414</f>
      </c>
      <c r="M414" s="6" t="s">
        <f>=(K414-J414)*E414</f>
      </c>
      <c r="N414" s="6" t="s">
        <f>=MAX(0,M414*0.13)</f>
      </c>
    </row>
    <row collapsed="false" customFormat="false" customHeight="false" hidden="false" ht="12.1" outlineLevel="0" r="415">
      <c r="A415" s="36" t="n">
        <v>45670</v>
      </c>
      <c r="B415" s="16" t="s">
        <v>1375</v>
      </c>
      <c r="C415" s="16" t="s">
        <v>175</v>
      </c>
      <c r="D415" s="16" t="s">
        <v>176</v>
      </c>
      <c r="E415" s="17" t="n">
        <v>1</v>
      </c>
      <c r="F415" s="7" t="s">
        <f>=DATEDIF(A415,$O$2,"y")</f>
      </c>
      <c r="G415" s="7" t="s">
        <f>=DATEDIF(A415,$O$2,"ym")</f>
      </c>
      <c r="H415" s="7" t="s">
        <f>=DATEDIF(A415,$O$2,"md")</f>
      </c>
      <c r="I415" s="7" t="n">
        <v>408</v>
      </c>
      <c r="J415" s="17" t="n">
        <v>869.81</v>
      </c>
      <c r="K415" s="6" t="s">
        <f>=Портфель!F58*Портфель!G58/100*Портфель!$Q$13+Портфель!H58*Портфель!$Q$13</f>
      </c>
      <c r="L415" s="6" t="s">
        <f>=E415*K415</f>
      </c>
      <c r="M415" s="6" t="s">
        <f>=(K415-J415)*E415</f>
      </c>
      <c r="N415" s="6" t="s">
        <f>=MAX(0,M415*0.13)</f>
      </c>
    </row>
    <row collapsed="false" customFormat="false" customHeight="false" hidden="false" ht="12.1" outlineLevel="0" r="416">
      <c r="A416" s="36" t="n">
        <v>45670</v>
      </c>
      <c r="B416" s="16" t="s">
        <v>1375</v>
      </c>
      <c r="C416" s="16" t="s">
        <v>175</v>
      </c>
      <c r="D416" s="16" t="s">
        <v>176</v>
      </c>
      <c r="E416" s="17" t="n">
        <v>1</v>
      </c>
      <c r="F416" s="7" t="s">
        <f>=DATEDIF(A416,$O$2,"y")</f>
      </c>
      <c r="G416" s="7" t="s">
        <f>=DATEDIF(A416,$O$2,"ym")</f>
      </c>
      <c r="H416" s="7" t="s">
        <f>=DATEDIF(A416,$O$2,"md")</f>
      </c>
      <c r="I416" s="7" t="n">
        <v>408</v>
      </c>
      <c r="J416" s="17" t="n">
        <v>869.91</v>
      </c>
      <c r="K416" s="6" t="s">
        <f>=Портфель!F58*Портфель!G58/100*Портфель!$Q$13+Портфель!H58*Портфель!$Q$13</f>
      </c>
      <c r="L416" s="6" t="s">
        <f>=E416*K416</f>
      </c>
      <c r="M416" s="6" t="s">
        <f>=(K416-J416)*E416</f>
      </c>
      <c r="N416" s="6" t="s">
        <f>=MAX(0,M416*0.13)</f>
      </c>
    </row>
    <row collapsed="false" customFormat="false" customHeight="false" hidden="false" ht="12.1" outlineLevel="0" r="417">
      <c r="A417" s="36" t="n">
        <v>45813</v>
      </c>
      <c r="B417" s="16" t="s">
        <v>1375</v>
      </c>
      <c r="C417" s="16" t="s">
        <v>175</v>
      </c>
      <c r="D417" s="16" t="s">
        <v>176</v>
      </c>
      <c r="E417" s="17" t="n">
        <v>1</v>
      </c>
      <c r="F417" s="7" t="s">
        <f>=DATEDIF(A417,$O$2,"y")</f>
      </c>
      <c r="G417" s="7" t="s">
        <f>=DATEDIF(A417,$O$2,"ym")</f>
      </c>
      <c r="H417" s="7" t="s">
        <f>=DATEDIF(A417,$O$2,"md")</f>
      </c>
      <c r="I417" s="7" t="n">
        <v>265</v>
      </c>
      <c r="J417" s="17" t="n">
        <v>876.53</v>
      </c>
      <c r="K417" s="6" t="s">
        <f>=Портфель!F58*Портфель!G58/100*Портфель!$Q$13+Портфель!H58*Портфель!$Q$13</f>
      </c>
      <c r="L417" s="6" t="s">
        <f>=E417*K417</f>
      </c>
      <c r="M417" s="6" t="s">
        <f>=(K417-J417)*E417</f>
      </c>
      <c r="N417" s="6" t="s">
        <f>=MAX(0,M417*0.13)</f>
      </c>
    </row>
    <row collapsed="false" customFormat="false" customHeight="false" hidden="false" ht="12.1" outlineLevel="0" r="418">
      <c r="A418" s="36" t="n">
        <v>45813</v>
      </c>
      <c r="B418" s="16" t="s">
        <v>1375</v>
      </c>
      <c r="C418" s="16" t="s">
        <v>178</v>
      </c>
      <c r="D418" s="16" t="s">
        <v>179</v>
      </c>
      <c r="E418" s="17" t="n">
        <v>1</v>
      </c>
      <c r="F418" s="7" t="s">
        <f>=DATEDIF(A418,$O$2,"y")</f>
      </c>
      <c r="G418" s="7" t="s">
        <f>=DATEDIF(A418,$O$2,"ym")</f>
      </c>
      <c r="H418" s="7" t="s">
        <f>=DATEDIF(A418,$O$2,"md")</f>
      </c>
      <c r="I418" s="7" t="n">
        <v>265</v>
      </c>
      <c r="J418" s="17" t="n">
        <v>1086.68</v>
      </c>
      <c r="K418" s="6" t="s">
        <f>=Портфель!F59*Портфель!G59/100*Портфель!$Q$13+Портфель!H59*Портфель!$Q$13</f>
      </c>
      <c r="L418" s="6" t="s">
        <f>=E418*K418</f>
      </c>
      <c r="M418" s="6" t="s">
        <f>=(K418-J418)*E418</f>
      </c>
      <c r="N418" s="6" t="s">
        <f>=MAX(0,M418*0.13)</f>
      </c>
    </row>
    <row collapsed="false" customFormat="false" customHeight="false" hidden="false" ht="12.1" outlineLevel="0" r="419">
      <c r="A419" s="36" t="n">
        <v>45813</v>
      </c>
      <c r="B419" s="16" t="s">
        <v>1375</v>
      </c>
      <c r="C419" s="16" t="s">
        <v>178</v>
      </c>
      <c r="D419" s="16" t="s">
        <v>179</v>
      </c>
      <c r="E419" s="17" t="n">
        <v>1</v>
      </c>
      <c r="F419" s="7" t="s">
        <f>=DATEDIF(A419,$O$2,"y")</f>
      </c>
      <c r="G419" s="7" t="s">
        <f>=DATEDIF(A419,$O$2,"ym")</f>
      </c>
      <c r="H419" s="7" t="s">
        <f>=DATEDIF(A419,$O$2,"md")</f>
      </c>
      <c r="I419" s="7" t="n">
        <v>265</v>
      </c>
      <c r="J419" s="17" t="n">
        <v>1086.88</v>
      </c>
      <c r="K419" s="6" t="s">
        <f>=Портфель!F59*Портфель!G59/100*Портфель!$Q$13+Портфель!H59*Портфель!$Q$13</f>
      </c>
      <c r="L419" s="6" t="s">
        <f>=E419*K419</f>
      </c>
      <c r="M419" s="6" t="s">
        <f>=(K419-J419)*E419</f>
      </c>
      <c r="N419" s="6" t="s">
        <f>=MAX(0,M419*0.13)</f>
      </c>
    </row>
    <row collapsed="false" customFormat="false" customHeight="false" hidden="false" ht="12.1" outlineLevel="0" r="420">
      <c r="A420" s="36" t="n">
        <v>46055</v>
      </c>
      <c r="B420" s="16" t="s">
        <v>1375</v>
      </c>
      <c r="C420" s="16" t="s">
        <v>181</v>
      </c>
      <c r="D420" s="16" t="s">
        <v>182</v>
      </c>
      <c r="E420" s="17" t="n">
        <v>1</v>
      </c>
      <c r="F420" s="7" t="s">
        <f>=DATEDIF(A420,$O$2,"y")</f>
      </c>
      <c r="G420" s="7" t="s">
        <f>=DATEDIF(A420,$O$2,"ym")</f>
      </c>
      <c r="H420" s="7" t="s">
        <f>=DATEDIF(A420,$O$2,"md")</f>
      </c>
      <c r="I420" s="7" t="n">
        <v>23</v>
      </c>
      <c r="J420" s="17" t="n">
        <v>1024.91</v>
      </c>
      <c r="K420" s="6" t="s">
        <f>=Портфель!F60*Портфель!G60/100*Портфель!$Q$13+Портфель!H60*Портфель!$Q$13</f>
      </c>
      <c r="L420" s="6" t="s">
        <f>=E420*K420</f>
      </c>
      <c r="M420" s="6" t="s">
        <f>=(K420-J420)*E420</f>
      </c>
      <c r="N420" s="6" t="s">
        <f>=MAX(0,M420*0.13)</f>
      </c>
    </row>
    <row collapsed="false" customFormat="false" customHeight="false" hidden="false" ht="12.1" outlineLevel="0" r="421">
      <c r="A421" s="36" t="n">
        <v>46055</v>
      </c>
      <c r="B421" s="16" t="s">
        <v>1375</v>
      </c>
      <c r="C421" s="16" t="s">
        <v>181</v>
      </c>
      <c r="D421" s="16" t="s">
        <v>182</v>
      </c>
      <c r="E421" s="17" t="n">
        <v>1</v>
      </c>
      <c r="F421" s="7" t="s">
        <f>=DATEDIF(A421,$O$2,"y")</f>
      </c>
      <c r="G421" s="7" t="s">
        <f>=DATEDIF(A421,$O$2,"ym")</f>
      </c>
      <c r="H421" s="7" t="s">
        <f>=DATEDIF(A421,$O$2,"md")</f>
      </c>
      <c r="I421" s="7" t="n">
        <v>23</v>
      </c>
      <c r="J421" s="17" t="n">
        <v>1025.51</v>
      </c>
      <c r="K421" s="6" t="s">
        <f>=Портфель!F60*Портфель!G60/100*Портфель!$Q$13+Портфель!H60*Портфель!$Q$13</f>
      </c>
      <c r="L421" s="6" t="s">
        <f>=E421*K421</f>
      </c>
      <c r="M421" s="6" t="s">
        <f>=(K421-J421)*E421</f>
      </c>
      <c r="N421" s="6" t="s">
        <f>=MAX(0,M421*0.13)</f>
      </c>
    </row>
    <row collapsed="false" customFormat="false" customHeight="false" hidden="false" ht="12.1" outlineLevel="0" r="422">
      <c r="A422" s="36" t="n">
        <v>46055</v>
      </c>
      <c r="B422" s="16" t="s">
        <v>1375</v>
      </c>
      <c r="C422" s="16" t="s">
        <v>184</v>
      </c>
      <c r="D422" s="16" t="s">
        <v>185</v>
      </c>
      <c r="E422" s="17" t="n">
        <v>1</v>
      </c>
      <c r="F422" s="7" t="s">
        <f>=DATEDIF(A422,$O$2,"y")</f>
      </c>
      <c r="G422" s="7" t="s">
        <f>=DATEDIF(A422,$O$2,"ym")</f>
      </c>
      <c r="H422" s="7" t="s">
        <f>=DATEDIF(A422,$O$2,"md")</f>
      </c>
      <c r="I422" s="7" t="n">
        <v>23</v>
      </c>
      <c r="J422" s="17" t="n">
        <v>1028.98</v>
      </c>
      <c r="K422" s="6" t="s">
        <f>=Портфель!F61*Портфель!G61/100*Портфель!$Q$13+Портфель!H61*Портфель!$Q$13</f>
      </c>
      <c r="L422" s="6" t="s">
        <f>=E422*K422</f>
      </c>
      <c r="M422" s="6" t="s">
        <f>=(K422-J422)*E422</f>
      </c>
      <c r="N422" s="6" t="s">
        <f>=MAX(0,M422*0.13)</f>
      </c>
    </row>
    <row collapsed="false" customFormat="false" customHeight="false" hidden="false" ht="12.1" outlineLevel="0" r="423">
      <c r="A423" s="36" t="n">
        <v>46055</v>
      </c>
      <c r="B423" s="16" t="s">
        <v>1375</v>
      </c>
      <c r="C423" s="16" t="s">
        <v>184</v>
      </c>
      <c r="D423" s="16" t="s">
        <v>185</v>
      </c>
      <c r="E423" s="17" t="n">
        <v>1</v>
      </c>
      <c r="F423" s="7" t="s">
        <f>=DATEDIF(A423,$O$2,"y")</f>
      </c>
      <c r="G423" s="7" t="s">
        <f>=DATEDIF(A423,$O$2,"ym")</f>
      </c>
      <c r="H423" s="7" t="s">
        <f>=DATEDIF(A423,$O$2,"md")</f>
      </c>
      <c r="I423" s="7" t="n">
        <v>23</v>
      </c>
      <c r="J423" s="17" t="n">
        <v>1028.98</v>
      </c>
      <c r="K423" s="6" t="s">
        <f>=Портфель!F61*Портфель!G61/100*Портфель!$Q$13+Портфель!H61*Портфель!$Q$13</f>
      </c>
      <c r="L423" s="6" t="s">
        <f>=E423*K423</f>
      </c>
      <c r="M423" s="6" t="s">
        <f>=(K423-J423)*E423</f>
      </c>
      <c r="N423" s="6" t="s">
        <f>=MAX(0,M423*0.13)</f>
      </c>
    </row>
    <row collapsed="false" customFormat="false" customHeight="false" hidden="false" ht="12.1" outlineLevel="0" r="424">
      <c r="A424" s="36" t="n">
        <v>46055</v>
      </c>
      <c r="B424" s="16" t="s">
        <v>1375</v>
      </c>
      <c r="C424" s="16" t="s">
        <v>187</v>
      </c>
      <c r="D424" s="16" t="s">
        <v>188</v>
      </c>
      <c r="E424" s="17" t="n">
        <v>1</v>
      </c>
      <c r="F424" s="7" t="s">
        <f>=DATEDIF(A424,$O$2,"y")</f>
      </c>
      <c r="G424" s="7" t="s">
        <f>=DATEDIF(A424,$O$2,"ym")</f>
      </c>
      <c r="H424" s="7" t="s">
        <f>=DATEDIF(A424,$O$2,"md")</f>
      </c>
      <c r="I424" s="7" t="n">
        <v>23</v>
      </c>
      <c r="J424" s="17" t="n">
        <v>1052.91</v>
      </c>
      <c r="K424" s="6" t="s">
        <f>=Портфель!F62*Портфель!G62/100*Портфель!$Q$13+Портфель!H62*Портфель!$Q$13</f>
      </c>
      <c r="L424" s="6" t="s">
        <f>=E424*K424</f>
      </c>
      <c r="M424" s="6" t="s">
        <f>=(K424-J424)*E424</f>
      </c>
      <c r="N424" s="6" t="s">
        <f>=MAX(0,M424*0.13)</f>
      </c>
    </row>
    <row collapsed="false" customFormat="false" customHeight="false" hidden="false" ht="12.1" outlineLevel="0" r="425">
      <c r="A425" s="36" t="n">
        <v>46055</v>
      </c>
      <c r="B425" s="16" t="s">
        <v>1375</v>
      </c>
      <c r="C425" s="16" t="s">
        <v>187</v>
      </c>
      <c r="D425" s="16" t="s">
        <v>188</v>
      </c>
      <c r="E425" s="17" t="n">
        <v>1</v>
      </c>
      <c r="F425" s="7" t="s">
        <f>=DATEDIF(A425,$O$2,"y")</f>
      </c>
      <c r="G425" s="7" t="s">
        <f>=DATEDIF(A425,$O$2,"ym")</f>
      </c>
      <c r="H425" s="7" t="s">
        <f>=DATEDIF(A425,$O$2,"md")</f>
      </c>
      <c r="I425" s="7" t="n">
        <v>23</v>
      </c>
      <c r="J425" s="17" t="n">
        <v>1052.91</v>
      </c>
      <c r="K425" s="6" t="s">
        <f>=Портфель!F62*Портфель!G62/100*Портфель!$Q$13+Портфель!H62*Портфель!$Q$13</f>
      </c>
      <c r="L425" s="6" t="s">
        <f>=E425*K425</f>
      </c>
      <c r="M425" s="6" t="s">
        <f>=(K425-J425)*E425</f>
      </c>
      <c r="N425" s="6" t="s">
        <f>=MAX(0,M425*0.13)</f>
      </c>
    </row>
    <row collapsed="false" customFormat="false" customHeight="false" hidden="false" ht="12.1" outlineLevel="0" r="426">
      <c r="A426" s="36" t="n">
        <v>46055</v>
      </c>
      <c r="B426" s="16" t="s">
        <v>1375</v>
      </c>
      <c r="C426" s="16" t="s">
        <v>190</v>
      </c>
      <c r="D426" s="16" t="s">
        <v>191</v>
      </c>
      <c r="E426" s="17" t="n">
        <v>1</v>
      </c>
      <c r="F426" s="7" t="s">
        <f>=DATEDIF(A426,$O$2,"y")</f>
      </c>
      <c r="G426" s="7" t="s">
        <f>=DATEDIF(A426,$O$2,"ym")</f>
      </c>
      <c r="H426" s="7" t="s">
        <f>=DATEDIF(A426,$O$2,"md")</f>
      </c>
      <c r="I426" s="7" t="n">
        <v>23</v>
      </c>
      <c r="J426" s="17" t="n">
        <v>1038.96</v>
      </c>
      <c r="K426" s="6" t="s">
        <f>=Портфель!F63*Портфель!G63/100*Портфель!$Q$13+Портфель!H63*Портфель!$Q$13</f>
      </c>
      <c r="L426" s="6" t="s">
        <f>=E426*K426</f>
      </c>
      <c r="M426" s="6" t="s">
        <f>=(K426-J426)*E426</f>
      </c>
      <c r="N426" s="6" t="s">
        <f>=MAX(0,M426*0.13)</f>
      </c>
    </row>
    <row collapsed="false" customFormat="false" customHeight="false" hidden="false" ht="12.1" outlineLevel="0" r="427">
      <c r="A427" s="36" t="n">
        <v>46055</v>
      </c>
      <c r="B427" s="16" t="s">
        <v>1375</v>
      </c>
      <c r="C427" s="16" t="s">
        <v>190</v>
      </c>
      <c r="D427" s="16" t="s">
        <v>191</v>
      </c>
      <c r="E427" s="17" t="n">
        <v>1</v>
      </c>
      <c r="F427" s="7" t="s">
        <f>=DATEDIF(A427,$O$2,"y")</f>
      </c>
      <c r="G427" s="7" t="s">
        <f>=DATEDIF(A427,$O$2,"ym")</f>
      </c>
      <c r="H427" s="7" t="s">
        <f>=DATEDIF(A427,$O$2,"md")</f>
      </c>
      <c r="I427" s="7" t="n">
        <v>23</v>
      </c>
      <c r="J427" s="17" t="n">
        <v>1038.56</v>
      </c>
      <c r="K427" s="6" t="s">
        <f>=Портфель!F63*Портфель!G63/100*Портфель!$Q$13+Портфель!H63*Портфель!$Q$13</f>
      </c>
      <c r="L427" s="6" t="s">
        <f>=E427*K427</f>
      </c>
      <c r="M427" s="6" t="s">
        <f>=(K427-J427)*E427</f>
      </c>
      <c r="N427" s="6" t="s">
        <f>=MAX(0,M427*0.13)</f>
      </c>
    </row>
    <row collapsed="false" customFormat="false" customHeight="false" hidden="false" ht="12.1" outlineLevel="0" r="428">
      <c r="A428" s="36" t="n">
        <v>46055</v>
      </c>
      <c r="B428" s="16" t="s">
        <v>1375</v>
      </c>
      <c r="C428" s="16" t="s">
        <v>193</v>
      </c>
      <c r="D428" s="16" t="s">
        <v>194</v>
      </c>
      <c r="E428" s="17" t="n">
        <v>1</v>
      </c>
      <c r="F428" s="7" t="s">
        <f>=DATEDIF(A428,$O$2,"y")</f>
      </c>
      <c r="G428" s="7" t="s">
        <f>=DATEDIF(A428,$O$2,"ym")</f>
      </c>
      <c r="H428" s="7" t="s">
        <f>=DATEDIF(A428,$O$2,"md")</f>
      </c>
      <c r="I428" s="7" t="n">
        <v>23</v>
      </c>
      <c r="J428" s="17" t="n">
        <v>1013.41</v>
      </c>
      <c r="K428" s="6" t="s">
        <f>=Портфель!F64*Портфель!G64/100*Портфель!$Q$13+Портфель!H64*Портфель!$Q$13</f>
      </c>
      <c r="L428" s="6" t="s">
        <f>=E428*K428</f>
      </c>
      <c r="M428" s="6" t="s">
        <f>=(K428-J428)*E428</f>
      </c>
      <c r="N428" s="6" t="s">
        <f>=MAX(0,M428*0.13)</f>
      </c>
    </row>
    <row collapsed="false" customFormat="false" customHeight="false" hidden="false" ht="12.1" outlineLevel="0" r="429">
      <c r="A429" s="36" t="n">
        <v>46055</v>
      </c>
      <c r="B429" s="16" t="s">
        <v>1375</v>
      </c>
      <c r="C429" s="16" t="s">
        <v>193</v>
      </c>
      <c r="D429" s="16" t="s">
        <v>194</v>
      </c>
      <c r="E429" s="17" t="n">
        <v>1</v>
      </c>
      <c r="F429" s="7" t="s">
        <f>=DATEDIF(A429,$O$2,"y")</f>
      </c>
      <c r="G429" s="7" t="s">
        <f>=DATEDIF(A429,$O$2,"ym")</f>
      </c>
      <c r="H429" s="7" t="s">
        <f>=DATEDIF(A429,$O$2,"md")</f>
      </c>
      <c r="I429" s="7" t="n">
        <v>23</v>
      </c>
      <c r="J429" s="17" t="n">
        <v>1013.41</v>
      </c>
      <c r="K429" s="6" t="s">
        <f>=Портфель!F64*Портфель!G64/100*Портфель!$Q$13+Портфель!H64*Портфель!$Q$13</f>
      </c>
      <c r="L429" s="6" t="s">
        <f>=E429*K429</f>
      </c>
      <c r="M429" s="6" t="s">
        <f>=(K429-J429)*E429</f>
      </c>
      <c r="N429" s="6" t="s">
        <f>=MAX(0,M429*0.13)</f>
      </c>
    </row>
    <row collapsed="false" customFormat="false" customHeight="false" hidden="false" ht="12.1" outlineLevel="0" r="430">
      <c r="A430" s="36" t="n">
        <v>45356</v>
      </c>
      <c r="B430" s="16" t="s">
        <v>1375</v>
      </c>
      <c r="C430" s="16" t="s">
        <v>196</v>
      </c>
      <c r="D430" s="16" t="s">
        <v>197</v>
      </c>
      <c r="E430" s="17" t="n">
        <v>1</v>
      </c>
      <c r="F430" s="7" t="s">
        <f>=DATEDIF(A430,$O$2,"y")</f>
      </c>
      <c r="G430" s="7" t="s">
        <f>=DATEDIF(A430,$O$2,"ym")</f>
      </c>
      <c r="H430" s="7" t="s">
        <f>=DATEDIF(A430,$O$2,"md")</f>
      </c>
      <c r="I430" s="7" t="n">
        <v>722</v>
      </c>
      <c r="J430" s="17" t="n">
        <v>865.03</v>
      </c>
      <c r="K430" s="6" t="s">
        <f>=Портфель!F65*Портфель!G65/100*Портфель!$Q$13+Портфель!H65*Портфель!$Q$13</f>
      </c>
      <c r="L430" s="6" t="s">
        <f>=E430*K430</f>
      </c>
      <c r="M430" s="6" t="s">
        <f>=(K430-J430)*E430</f>
      </c>
      <c r="N430" s="6" t="s">
        <f>=MAX(0,M430*0.13)</f>
      </c>
    </row>
    <row collapsed="false" customFormat="false" customHeight="false" hidden="false" ht="12.1" outlineLevel="0" r="431">
      <c r="A431" s="36" t="n">
        <v>45471</v>
      </c>
      <c r="B431" s="16" t="s">
        <v>1375</v>
      </c>
      <c r="C431" s="16" t="s">
        <v>196</v>
      </c>
      <c r="D431" s="16" t="s">
        <v>197</v>
      </c>
      <c r="E431" s="17" t="n">
        <v>1</v>
      </c>
      <c r="F431" s="7" t="s">
        <f>=DATEDIF(A431,$O$2,"y")</f>
      </c>
      <c r="G431" s="7" t="s">
        <f>=DATEDIF(A431,$O$2,"ym")</f>
      </c>
      <c r="H431" s="7" t="s">
        <f>=DATEDIF(A431,$O$2,"md")</f>
      </c>
      <c r="I431" s="7" t="n">
        <v>607</v>
      </c>
      <c r="J431" s="17" t="n">
        <v>825.99</v>
      </c>
      <c r="K431" s="6" t="s">
        <f>=Портфель!F65*Портфель!G65/100*Портфель!$Q$13+Портфель!H65*Портфель!$Q$13</f>
      </c>
      <c r="L431" s="6" t="s">
        <f>=E431*K431</f>
      </c>
      <c r="M431" s="6" t="s">
        <f>=(K431-J431)*E431</f>
      </c>
      <c r="N431" s="6" t="s">
        <f>=MAX(0,M431*0.13)</f>
      </c>
    </row>
    <row collapsed="false" customFormat="false" customHeight="false" hidden="false" ht="12.1" outlineLevel="0" r="432">
      <c r="A432" s="36" t="n">
        <v>45147</v>
      </c>
      <c r="B432" s="16" t="s">
        <v>1375</v>
      </c>
      <c r="C432" s="16" t="s">
        <v>199</v>
      </c>
      <c r="D432" s="16" t="s">
        <v>200</v>
      </c>
      <c r="E432" s="17" t="n">
        <v>2</v>
      </c>
      <c r="F432" s="7" t="s">
        <f>=DATEDIF(A432,$O$2,"y")</f>
      </c>
      <c r="G432" s="7" t="s">
        <f>=DATEDIF(A432,$O$2,"ym")</f>
      </c>
      <c r="H432" s="7" t="s">
        <f>=DATEDIF(A432,$O$2,"md")</f>
      </c>
      <c r="I432" s="7" t="n">
        <v>931</v>
      </c>
      <c r="J432" s="17" t="n">
        <v>1015.5</v>
      </c>
      <c r="K432" s="6" t="s">
        <f>=Портфель!F66*Портфель!G66/100*Портфель!$Q$13+Портфель!H66*Портфель!$Q$13</f>
      </c>
      <c r="L432" s="6" t="s">
        <f>=E432*K432</f>
      </c>
      <c r="M432" s="6" t="s">
        <f>=(K432-J432)*E432</f>
      </c>
      <c r="N432" s="6" t="s">
        <f>=MAX(0,M432*0.13)</f>
      </c>
    </row>
    <row collapsed="false" customFormat="false" customHeight="false" hidden="false" ht="12.1" outlineLevel="0" r="433">
      <c r="A433" s="36" t="n">
        <v>45471</v>
      </c>
      <c r="B433" s="16" t="s">
        <v>1375</v>
      </c>
      <c r="C433" s="16" t="s">
        <v>202</v>
      </c>
      <c r="D433" s="16" t="s">
        <v>203</v>
      </c>
      <c r="E433" s="17" t="n">
        <v>1</v>
      </c>
      <c r="F433" s="7" t="s">
        <f>=DATEDIF(A433,$O$2,"y")</f>
      </c>
      <c r="G433" s="7" t="s">
        <f>=DATEDIF(A433,$O$2,"ym")</f>
      </c>
      <c r="H433" s="7" t="s">
        <f>=DATEDIF(A433,$O$2,"md")</f>
      </c>
      <c r="I433" s="7" t="n">
        <v>607</v>
      </c>
      <c r="J433" s="17" t="n">
        <v>1016.68</v>
      </c>
      <c r="K433" s="6" t="s">
        <f>=Портфель!F67*Портфель!G67/100*Портфель!$Q$13+Портфель!H67*Портфель!$Q$13</f>
      </c>
      <c r="L433" s="6" t="s">
        <f>=E433*K433</f>
      </c>
      <c r="M433" s="6" t="s">
        <f>=(K433-J433)*E433</f>
      </c>
      <c r="N433" s="6" t="s">
        <f>=MAX(0,M433*0.13)</f>
      </c>
    </row>
    <row collapsed="false" customFormat="false" customHeight="false" hidden="false" ht="12.1" outlineLevel="0" r="434">
      <c r="A434" s="36" t="n">
        <v>45471</v>
      </c>
      <c r="B434" s="16" t="s">
        <v>1375</v>
      </c>
      <c r="C434" s="16" t="s">
        <v>202</v>
      </c>
      <c r="D434" s="16" t="s">
        <v>203</v>
      </c>
      <c r="E434" s="17" t="n">
        <v>1</v>
      </c>
      <c r="F434" s="7" t="s">
        <f>=DATEDIF(A434,$O$2,"y")</f>
      </c>
      <c r="G434" s="7" t="s">
        <f>=DATEDIF(A434,$O$2,"ym")</f>
      </c>
      <c r="H434" s="7" t="s">
        <f>=DATEDIF(A434,$O$2,"md")</f>
      </c>
      <c r="I434" s="7" t="n">
        <v>607</v>
      </c>
      <c r="J434" s="17" t="n">
        <v>1016.68</v>
      </c>
      <c r="K434" s="6" t="s">
        <f>=Портфель!F67*Портфель!G67/100*Портфель!$Q$13+Портфель!H67*Портфель!$Q$13</f>
      </c>
      <c r="L434" s="6" t="s">
        <f>=E434*K434</f>
      </c>
      <c r="M434" s="6" t="s">
        <f>=(K434-J434)*E434</f>
      </c>
      <c r="N434" s="6" t="s">
        <f>=MAX(0,M434*0.13)</f>
      </c>
    </row>
    <row collapsed="false" customFormat="false" customHeight="false" hidden="false" ht="12.1" outlineLevel="0" r="435">
      <c r="A435" s="36" t="n">
        <v>46027</v>
      </c>
      <c r="B435" s="16" t="s">
        <v>1375</v>
      </c>
      <c r="C435" s="16" t="s">
        <v>205</v>
      </c>
      <c r="D435" s="16" t="s">
        <v>206</v>
      </c>
      <c r="E435" s="17" t="n">
        <v>1</v>
      </c>
      <c r="F435" s="7" t="s">
        <f>=DATEDIF(A435,$O$2,"y")</f>
      </c>
      <c r="G435" s="7" t="s">
        <f>=DATEDIF(A435,$O$2,"ym")</f>
      </c>
      <c r="H435" s="7" t="s">
        <f>=DATEDIF(A435,$O$2,"md")</f>
      </c>
      <c r="I435" s="7" t="n">
        <v>51</v>
      </c>
      <c r="J435" s="17" t="n">
        <v>962.6</v>
      </c>
      <c r="K435" s="6" t="s">
        <f>=Портфель!F68*Портфель!G68/100*Портфель!$Q$13+Портфель!H68*Портфель!$Q$13</f>
      </c>
      <c r="L435" s="6" t="s">
        <f>=E435*K435</f>
      </c>
      <c r="M435" s="6" t="s">
        <f>=(K435-J435)*E435</f>
      </c>
      <c r="N435" s="6" t="s">
        <f>=MAX(0,M435*0.13)</f>
      </c>
    </row>
    <row collapsed="false" customFormat="false" customHeight="false" hidden="false" ht="12.1" outlineLevel="0" r="436">
      <c r="A436" s="36" t="n">
        <v>46027</v>
      </c>
      <c r="B436" s="16" t="s">
        <v>1375</v>
      </c>
      <c r="C436" s="16" t="s">
        <v>205</v>
      </c>
      <c r="D436" s="16" t="s">
        <v>206</v>
      </c>
      <c r="E436" s="17" t="n">
        <v>1</v>
      </c>
      <c r="F436" s="7" t="s">
        <f>=DATEDIF(A436,$O$2,"y")</f>
      </c>
      <c r="G436" s="7" t="s">
        <f>=DATEDIF(A436,$O$2,"ym")</f>
      </c>
      <c r="H436" s="7" t="s">
        <f>=DATEDIF(A436,$O$2,"md")</f>
      </c>
      <c r="I436" s="7" t="n">
        <v>51</v>
      </c>
      <c r="J436" s="17" t="n">
        <v>962.57</v>
      </c>
      <c r="K436" s="6" t="s">
        <f>=Портфель!F68*Портфель!G68/100*Портфель!$Q$13+Портфель!H68*Портфель!$Q$13</f>
      </c>
      <c r="L436" s="6" t="s">
        <f>=E436*K436</f>
      </c>
      <c r="M436" s="6" t="s">
        <f>=(K436-J436)*E436</f>
      </c>
      <c r="N436" s="6" t="s">
        <f>=MAX(0,M436*0.13)</f>
      </c>
    </row>
    <row collapsed="false" customFormat="false" customHeight="false" hidden="false" ht="12.1" outlineLevel="0" r="437">
      <c r="A437" s="36" t="n">
        <v>46027</v>
      </c>
      <c r="B437" s="16" t="s">
        <v>1375</v>
      </c>
      <c r="C437" s="16" t="s">
        <v>208</v>
      </c>
      <c r="D437" s="16" t="s">
        <v>209</v>
      </c>
      <c r="E437" s="17" t="n">
        <v>1</v>
      </c>
      <c r="F437" s="7" t="s">
        <f>=DATEDIF(A437,$O$2,"y")</f>
      </c>
      <c r="G437" s="7" t="s">
        <f>=DATEDIF(A437,$O$2,"ym")</f>
      </c>
      <c r="H437" s="7" t="s">
        <f>=DATEDIF(A437,$O$2,"md")</f>
      </c>
      <c r="I437" s="7" t="n">
        <v>51</v>
      </c>
      <c r="J437" s="17" t="n">
        <v>965.37</v>
      </c>
      <c r="K437" s="6" t="s">
        <f>=Портфель!F69*Портфель!G69/100*Портфель!$Q$13+Портфель!H69*Портфель!$Q$13</f>
      </c>
      <c r="L437" s="6" t="s">
        <f>=E437*K437</f>
      </c>
      <c r="M437" s="6" t="s">
        <f>=(K437-J437)*E437</f>
      </c>
      <c r="N437" s="6" t="s">
        <f>=MAX(0,M437*0.13)</f>
      </c>
    </row>
    <row collapsed="false" customFormat="false" customHeight="false" hidden="false" ht="12.1" outlineLevel="0" r="438">
      <c r="A438" s="36" t="n">
        <v>46027</v>
      </c>
      <c r="B438" s="16" t="s">
        <v>1375</v>
      </c>
      <c r="C438" s="16" t="s">
        <v>208</v>
      </c>
      <c r="D438" s="16" t="s">
        <v>209</v>
      </c>
      <c r="E438" s="17" t="n">
        <v>1</v>
      </c>
      <c r="F438" s="7" t="s">
        <f>=DATEDIF(A438,$O$2,"y")</f>
      </c>
      <c r="G438" s="7" t="s">
        <f>=DATEDIF(A438,$O$2,"ym")</f>
      </c>
      <c r="H438" s="7" t="s">
        <f>=DATEDIF(A438,$O$2,"md")</f>
      </c>
      <c r="I438" s="7" t="n">
        <v>51</v>
      </c>
      <c r="J438" s="17" t="n">
        <v>965.37</v>
      </c>
      <c r="K438" s="6" t="s">
        <f>=Портфель!F69*Портфель!G69/100*Портфель!$Q$13+Портфель!H69*Портфель!$Q$13</f>
      </c>
      <c r="L438" s="6" t="s">
        <f>=E438*K438</f>
      </c>
      <c r="M438" s="6" t="s">
        <f>=(K438-J438)*E438</f>
      </c>
      <c r="N438" s="6" t="s">
        <f>=MAX(0,M438*0.13)</f>
      </c>
    </row>
    <row collapsed="false" customFormat="false" customHeight="false" hidden="false" ht="12.1" outlineLevel="0" r="439">
      <c r="A439" s="36" t="n">
        <v>45082</v>
      </c>
      <c r="B439" s="16" t="s">
        <v>1375</v>
      </c>
      <c r="C439" s="16" t="s">
        <v>211</v>
      </c>
      <c r="D439" s="16" t="s">
        <v>212</v>
      </c>
      <c r="E439" s="17" t="n">
        <v>1</v>
      </c>
      <c r="F439" s="7" t="s">
        <f>=DATEDIF(A439,$O$2,"y")</f>
      </c>
      <c r="G439" s="7" t="s">
        <f>=DATEDIF(A439,$O$2,"ym")</f>
      </c>
      <c r="H439" s="7" t="s">
        <f>=DATEDIF(A439,$O$2,"md")</f>
      </c>
      <c r="I439" s="7" t="n">
        <v>996</v>
      </c>
      <c r="J439" s="17" t="n">
        <v>1027.77</v>
      </c>
      <c r="K439" s="6" t="s">
        <f>=Портфель!F70*Портфель!G70/100*Портфель!$Q$13+Портфель!H70*Портфель!$Q$13</f>
      </c>
      <c r="L439" s="6" t="s">
        <f>=E439*K439</f>
      </c>
      <c r="M439" s="6" t="s">
        <f>=(K439-J439)*E439</f>
      </c>
      <c r="N439" s="6" t="s">
        <f>=MAX(0,M439*0.13)</f>
      </c>
    </row>
    <row collapsed="false" customFormat="false" customHeight="false" hidden="false" ht="12.1" outlineLevel="0" r="440">
      <c r="A440" s="36" t="n">
        <v>45813</v>
      </c>
      <c r="B440" s="16" t="s">
        <v>1375</v>
      </c>
      <c r="C440" s="16" t="s">
        <v>211</v>
      </c>
      <c r="D440" s="16" t="s">
        <v>212</v>
      </c>
      <c r="E440" s="17" t="n">
        <v>1</v>
      </c>
      <c r="F440" s="7" t="s">
        <f>=DATEDIF(A440,$O$2,"y")</f>
      </c>
      <c r="G440" s="7" t="s">
        <f>=DATEDIF(A440,$O$2,"ym")</f>
      </c>
      <c r="H440" s="7" t="s">
        <f>=DATEDIF(A440,$O$2,"md")</f>
      </c>
      <c r="I440" s="7" t="n">
        <v>265</v>
      </c>
      <c r="J440" s="17" t="n">
        <v>885.97</v>
      </c>
      <c r="K440" s="6" t="s">
        <f>=Портфель!F70*Портфель!G70/100*Портфель!$Q$13+Портфель!H70*Портфель!$Q$13</f>
      </c>
      <c r="L440" s="6" t="s">
        <f>=E440*K440</f>
      </c>
      <c r="M440" s="6" t="s">
        <f>=(K440-J440)*E440</f>
      </c>
      <c r="N440" s="6" t="s">
        <f>=MAX(0,M440*0.13)</f>
      </c>
    </row>
    <row collapsed="false" customFormat="false" customHeight="false" hidden="false" ht="12.1" outlineLevel="0" r="441">
      <c r="A441" s="36" t="n">
        <v>45541</v>
      </c>
      <c r="B441" s="16" t="s">
        <v>1375</v>
      </c>
      <c r="C441" s="16" t="s">
        <v>214</v>
      </c>
      <c r="D441" s="16" t="s">
        <v>215</v>
      </c>
      <c r="E441" s="17" t="n">
        <v>1</v>
      </c>
      <c r="F441" s="7" t="s">
        <f>=DATEDIF(A441,$O$2,"y")</f>
      </c>
      <c r="G441" s="7" t="s">
        <f>=DATEDIF(A441,$O$2,"ym")</f>
      </c>
      <c r="H441" s="7" t="s">
        <f>=DATEDIF(A441,$O$2,"md")</f>
      </c>
      <c r="I441" s="7" t="n">
        <v>537</v>
      </c>
      <c r="J441" s="17" t="n">
        <v>817.83</v>
      </c>
      <c r="K441" s="6" t="s">
        <f>=Портфель!F71*Портфель!G71/100*Портфель!$Q$13+Портфель!H71*Портфель!$Q$13</f>
      </c>
      <c r="L441" s="6" t="s">
        <f>=E441*K441</f>
      </c>
      <c r="M441" s="6" t="s">
        <f>=(K441-J441)*E441</f>
      </c>
      <c r="N441" s="6" t="s">
        <f>=MAX(0,M441*0.13)</f>
      </c>
    </row>
    <row collapsed="false" customFormat="false" customHeight="false" hidden="false" ht="12.1" outlineLevel="0" r="442">
      <c r="A442" s="36" t="n">
        <v>45776</v>
      </c>
      <c r="B442" s="16" t="s">
        <v>1375</v>
      </c>
      <c r="C442" s="16" t="s">
        <v>214</v>
      </c>
      <c r="D442" s="16" t="s">
        <v>215</v>
      </c>
      <c r="E442" s="17" t="n">
        <v>1</v>
      </c>
      <c r="F442" s="7" t="s">
        <f>=DATEDIF(A442,$O$2,"y")</f>
      </c>
      <c r="G442" s="7" t="s">
        <f>=DATEDIF(A442,$O$2,"ym")</f>
      </c>
      <c r="H442" s="7" t="s">
        <f>=DATEDIF(A442,$O$2,"md")</f>
      </c>
      <c r="I442" s="7" t="n">
        <v>302</v>
      </c>
      <c r="J442" s="17" t="n">
        <v>821.33</v>
      </c>
      <c r="K442" s="6" t="s">
        <f>=Портфель!F71*Портфель!G71/100*Портфель!$Q$13+Портфель!H71*Портфель!$Q$13</f>
      </c>
      <c r="L442" s="6" t="s">
        <f>=E442*K442</f>
      </c>
      <c r="M442" s="6" t="s">
        <f>=(K442-J442)*E442</f>
      </c>
      <c r="N442" s="6" t="s">
        <f>=MAX(0,M442*0.13)</f>
      </c>
    </row>
    <row collapsed="false" customFormat="false" customHeight="false" hidden="false" ht="12.1" outlineLevel="0" r="443">
      <c r="A443" s="36" t="n">
        <v>45729</v>
      </c>
      <c r="B443" s="16" t="s">
        <v>1375</v>
      </c>
      <c r="C443" s="16" t="s">
        <v>217</v>
      </c>
      <c r="D443" s="16" t="s">
        <v>218</v>
      </c>
      <c r="E443" s="17" t="n">
        <v>1</v>
      </c>
      <c r="F443" s="7" t="s">
        <f>=DATEDIF(A443,$O$2,"y")</f>
      </c>
      <c r="G443" s="7" t="s">
        <f>=DATEDIF(A443,$O$2,"ym")</f>
      </c>
      <c r="H443" s="7" t="s">
        <f>=DATEDIF(A443,$O$2,"md")</f>
      </c>
      <c r="I443" s="7" t="n">
        <v>349</v>
      </c>
      <c r="J443" s="17" t="n">
        <v>783.05</v>
      </c>
      <c r="K443" s="6" t="s">
        <f>=Портфель!F72*Портфель!G72/100*Портфель!$Q$13+Портфель!H72*Портфель!$Q$13</f>
      </c>
      <c r="L443" s="6" t="s">
        <f>=E443*K443</f>
      </c>
      <c r="M443" s="6" t="s">
        <f>=(K443-J443)*E443</f>
      </c>
      <c r="N443" s="6" t="s">
        <f>=MAX(0,M443*0.13)</f>
      </c>
    </row>
    <row collapsed="false" customFormat="false" customHeight="false" hidden="false" ht="12.1" outlineLevel="0" r="444">
      <c r="A444" s="36" t="n">
        <v>45776</v>
      </c>
      <c r="B444" s="16" t="s">
        <v>1375</v>
      </c>
      <c r="C444" s="16" t="s">
        <v>217</v>
      </c>
      <c r="D444" s="16" t="s">
        <v>218</v>
      </c>
      <c r="E444" s="17" t="n">
        <v>1</v>
      </c>
      <c r="F444" s="7" t="s">
        <f>=DATEDIF(A444,$O$2,"y")</f>
      </c>
      <c r="G444" s="7" t="s">
        <f>=DATEDIF(A444,$O$2,"ym")</f>
      </c>
      <c r="H444" s="7" t="s">
        <f>=DATEDIF(A444,$O$2,"md")</f>
      </c>
      <c r="I444" s="7" t="n">
        <v>302</v>
      </c>
      <c r="J444" s="17" t="n">
        <v>784.54</v>
      </c>
      <c r="K444" s="6" t="s">
        <f>=Портфель!F72*Портфель!G72/100*Портфель!$Q$13+Портфель!H72*Портфель!$Q$13</f>
      </c>
      <c r="L444" s="6" t="s">
        <f>=E444*K444</f>
      </c>
      <c r="M444" s="6" t="s">
        <f>=(K444-J444)*E444</f>
      </c>
      <c r="N444" s="6" t="s">
        <f>=MAX(0,M444*0.13)</f>
      </c>
    </row>
    <row collapsed="false" customFormat="false" customHeight="false" hidden="false" ht="12.1" outlineLevel="0" r="445">
      <c r="A445" s="36" t="n">
        <v>45670</v>
      </c>
      <c r="B445" s="16" t="s">
        <v>1375</v>
      </c>
      <c r="C445" s="16" t="s">
        <v>220</v>
      </c>
      <c r="D445" s="16" t="s">
        <v>221</v>
      </c>
      <c r="E445" s="17" t="n">
        <v>1</v>
      </c>
      <c r="F445" s="7" t="s">
        <f>=DATEDIF(A445,$O$2,"y")</f>
      </c>
      <c r="G445" s="7" t="s">
        <f>=DATEDIF(A445,$O$2,"ym")</f>
      </c>
      <c r="H445" s="7" t="s">
        <f>=DATEDIF(A445,$O$2,"md")</f>
      </c>
      <c r="I445" s="7" t="n">
        <v>408</v>
      </c>
      <c r="J445" s="17" t="n">
        <v>859.96</v>
      </c>
      <c r="K445" s="6" t="s">
        <f>=Портфель!F73*Портфель!G73/100*Портфель!$Q$13+Портфель!H73*Портфель!$Q$13</f>
      </c>
      <c r="L445" s="6" t="s">
        <f>=E445*K445</f>
      </c>
      <c r="M445" s="6" t="s">
        <f>=(K445-J445)*E445</f>
      </c>
      <c r="N445" s="6" t="s">
        <f>=MAX(0,M445*0.13)</f>
      </c>
    </row>
    <row collapsed="false" customFormat="false" customHeight="false" hidden="false" ht="12.1" outlineLevel="0" r="446">
      <c r="A446" s="36" t="n">
        <v>45670</v>
      </c>
      <c r="B446" s="16" t="s">
        <v>1375</v>
      </c>
      <c r="C446" s="16" t="s">
        <v>220</v>
      </c>
      <c r="D446" s="16" t="s">
        <v>221</v>
      </c>
      <c r="E446" s="17" t="n">
        <v>1</v>
      </c>
      <c r="F446" s="7" t="s">
        <f>=DATEDIF(A446,$O$2,"y")</f>
      </c>
      <c r="G446" s="7" t="s">
        <f>=DATEDIF(A446,$O$2,"ym")</f>
      </c>
      <c r="H446" s="7" t="s">
        <f>=DATEDIF(A446,$O$2,"md")</f>
      </c>
      <c r="I446" s="7" t="n">
        <v>408</v>
      </c>
      <c r="J446" s="17" t="n">
        <v>860.66</v>
      </c>
      <c r="K446" s="6" t="s">
        <f>=Портфель!F73*Портфель!G73/100*Портфель!$Q$13+Портфель!H73*Портфель!$Q$13</f>
      </c>
      <c r="L446" s="6" t="s">
        <f>=E446*K446</f>
      </c>
      <c r="M446" s="6" t="s">
        <f>=(K446-J446)*E446</f>
      </c>
      <c r="N446" s="6" t="s">
        <f>=MAX(0,M446*0.13)</f>
      </c>
    </row>
    <row collapsed="false" customFormat="false" customHeight="false" hidden="false" ht="12.1" outlineLevel="0" r="447">
      <c r="A447" s="36" t="n">
        <v>45670</v>
      </c>
      <c r="B447" s="16" t="s">
        <v>1375</v>
      </c>
      <c r="C447" s="16" t="s">
        <v>223</v>
      </c>
      <c r="D447" s="16" t="s">
        <v>224</v>
      </c>
      <c r="E447" s="17" t="n">
        <v>1</v>
      </c>
      <c r="F447" s="7" t="s">
        <f>=DATEDIF(A447,$O$2,"y")</f>
      </c>
      <c r="G447" s="7" t="s">
        <f>=DATEDIF(A447,$O$2,"ym")</f>
      </c>
      <c r="H447" s="7" t="s">
        <f>=DATEDIF(A447,$O$2,"md")</f>
      </c>
      <c r="I447" s="7" t="n">
        <v>408</v>
      </c>
      <c r="J447" s="17" t="n">
        <v>799.74</v>
      </c>
      <c r="K447" s="6" t="s">
        <f>=Портфель!F74*Портфель!G74/100*Портфель!$Q$13+Портфель!H74*Портфель!$Q$13</f>
      </c>
      <c r="L447" s="6" t="s">
        <f>=E447*K447</f>
      </c>
      <c r="M447" s="6" t="s">
        <f>=(K447-J447)*E447</f>
      </c>
      <c r="N447" s="6" t="s">
        <f>=MAX(0,M447*0.13)</f>
      </c>
    </row>
    <row collapsed="false" customFormat="false" customHeight="false" hidden="false" ht="12.1" outlineLevel="0" r="448">
      <c r="A448" s="36" t="n">
        <v>45670</v>
      </c>
      <c r="B448" s="16" t="s">
        <v>1375</v>
      </c>
      <c r="C448" s="16" t="s">
        <v>223</v>
      </c>
      <c r="D448" s="16" t="s">
        <v>224</v>
      </c>
      <c r="E448" s="17" t="n">
        <v>1</v>
      </c>
      <c r="F448" s="7" t="s">
        <f>=DATEDIF(A448,$O$2,"y")</f>
      </c>
      <c r="G448" s="7" t="s">
        <f>=DATEDIF(A448,$O$2,"ym")</f>
      </c>
      <c r="H448" s="7" t="s">
        <f>=DATEDIF(A448,$O$2,"md")</f>
      </c>
      <c r="I448" s="7" t="n">
        <v>408</v>
      </c>
      <c r="J448" s="17" t="n">
        <v>799.64</v>
      </c>
      <c r="K448" s="6" t="s">
        <f>=Портфель!F74*Портфель!G74/100*Портфель!$Q$13+Портфель!H74*Портфель!$Q$13</f>
      </c>
      <c r="L448" s="6" t="s">
        <f>=E448*K448</f>
      </c>
      <c r="M448" s="6" t="s">
        <f>=(K448-J448)*E448</f>
      </c>
      <c r="N448" s="6" t="s">
        <f>=MAX(0,M448*0.13)</f>
      </c>
    </row>
    <row collapsed="false" customFormat="false" customHeight="false" hidden="false" ht="12.1" outlineLevel="0" r="449">
      <c r="A449" s="36" t="n">
        <v>45471</v>
      </c>
      <c r="B449" s="16" t="s">
        <v>1375</v>
      </c>
      <c r="C449" s="16" t="s">
        <v>226</v>
      </c>
      <c r="D449" s="16" t="s">
        <v>227</v>
      </c>
      <c r="E449" s="17" t="n">
        <v>1</v>
      </c>
      <c r="F449" s="7" t="s">
        <f>=DATEDIF(A449,$O$2,"y")</f>
      </c>
      <c r="G449" s="7" t="s">
        <f>=DATEDIF(A449,$O$2,"ym")</f>
      </c>
      <c r="H449" s="7" t="s">
        <f>=DATEDIF(A449,$O$2,"md")</f>
      </c>
      <c r="I449" s="7" t="n">
        <v>607</v>
      </c>
      <c r="J449" s="17" t="n">
        <v>893.98</v>
      </c>
      <c r="K449" s="6" t="s">
        <f>=Портфель!F75*Портфель!G75/100*Портфель!$Q$13+Портфель!H75*Портфель!$Q$13</f>
      </c>
      <c r="L449" s="6" t="s">
        <f>=E449*K449</f>
      </c>
      <c r="M449" s="6" t="s">
        <f>=(K449-J449)*E449</f>
      </c>
      <c r="N449" s="6" t="s">
        <f>=MAX(0,M449*0.13)</f>
      </c>
    </row>
    <row collapsed="false" customFormat="false" customHeight="false" hidden="false" ht="12.1" outlineLevel="0" r="450">
      <c r="A450" s="36" t="n">
        <v>45541</v>
      </c>
      <c r="B450" s="16" t="s">
        <v>1375</v>
      </c>
      <c r="C450" s="16" t="s">
        <v>226</v>
      </c>
      <c r="D450" s="16" t="s">
        <v>227</v>
      </c>
      <c r="E450" s="17" t="n">
        <v>1</v>
      </c>
      <c r="F450" s="7" t="s">
        <f>=DATEDIF(A450,$O$2,"y")</f>
      </c>
      <c r="G450" s="7" t="s">
        <f>=DATEDIF(A450,$O$2,"ym")</f>
      </c>
      <c r="H450" s="7" t="s">
        <f>=DATEDIF(A450,$O$2,"md")</f>
      </c>
      <c r="I450" s="7" t="n">
        <v>537</v>
      </c>
      <c r="J450" s="17" t="n">
        <v>860.88</v>
      </c>
      <c r="K450" s="6" t="s">
        <f>=Портфель!F75*Портфель!G75/100*Портфель!$Q$13+Портфель!H75*Портфель!$Q$13</f>
      </c>
      <c r="L450" s="6" t="s">
        <f>=E450*K450</f>
      </c>
      <c r="M450" s="6" t="s">
        <f>=(K450-J450)*E450</f>
      </c>
      <c r="N450" s="6" t="s">
        <f>=MAX(0,M450*0.13)</f>
      </c>
    </row>
    <row collapsed="false" customFormat="false" customHeight="false" hidden="false" ht="12.1" outlineLevel="0" r="451">
      <c r="A451" s="36" t="n">
        <v>45670</v>
      </c>
      <c r="B451" s="16" t="s">
        <v>1375</v>
      </c>
      <c r="C451" s="16" t="s">
        <v>229</v>
      </c>
      <c r="D451" s="16" t="s">
        <v>230</v>
      </c>
      <c r="E451" s="17" t="n">
        <v>1</v>
      </c>
      <c r="F451" s="7" t="s">
        <f>=DATEDIF(A451,$O$2,"y")</f>
      </c>
      <c r="G451" s="7" t="s">
        <f>=DATEDIF(A451,$O$2,"ym")</f>
      </c>
      <c r="H451" s="7" t="s">
        <f>=DATEDIF(A451,$O$2,"md")</f>
      </c>
      <c r="I451" s="7" t="n">
        <v>408</v>
      </c>
      <c r="J451" s="17" t="n">
        <v>708.87</v>
      </c>
      <c r="K451" s="6" t="s">
        <f>=Портфель!F76*Портфель!G76/100*Портфель!$Q$13+Портфель!H76*Портфель!$Q$13</f>
      </c>
      <c r="L451" s="6" t="s">
        <f>=E451*K451</f>
      </c>
      <c r="M451" s="6" t="s">
        <f>=(K451-J451)*E451</f>
      </c>
      <c r="N451" s="6" t="s">
        <f>=MAX(0,M451*0.13)</f>
      </c>
    </row>
    <row collapsed="false" customFormat="false" customHeight="false" hidden="false" ht="12.1" outlineLevel="0" r="452">
      <c r="A452" s="36" t="n">
        <v>45670</v>
      </c>
      <c r="B452" s="16" t="s">
        <v>1375</v>
      </c>
      <c r="C452" s="16" t="s">
        <v>229</v>
      </c>
      <c r="D452" s="16" t="s">
        <v>230</v>
      </c>
      <c r="E452" s="17" t="n">
        <v>1</v>
      </c>
      <c r="F452" s="7" t="s">
        <f>=DATEDIF(A452,$O$2,"y")</f>
      </c>
      <c r="G452" s="7" t="s">
        <f>=DATEDIF(A452,$O$2,"ym")</f>
      </c>
      <c r="H452" s="7" t="s">
        <f>=DATEDIF(A452,$O$2,"md")</f>
      </c>
      <c r="I452" s="7" t="n">
        <v>408</v>
      </c>
      <c r="J452" s="17" t="n">
        <v>708.97</v>
      </c>
      <c r="K452" s="6" t="s">
        <f>=Портфель!F76*Портфель!G76/100*Портфель!$Q$13+Портфель!H76*Портфель!$Q$13</f>
      </c>
      <c r="L452" s="6" t="s">
        <f>=E452*K452</f>
      </c>
      <c r="M452" s="6" t="s">
        <f>=(K452-J452)*E452</f>
      </c>
      <c r="N452" s="6" t="s">
        <f>=MAX(0,M452*0.13)</f>
      </c>
    </row>
    <row collapsed="false" customFormat="false" customHeight="false" hidden="false" ht="12.1" outlineLevel="0" r="453">
      <c r="A453" s="36" t="n">
        <v>45813</v>
      </c>
      <c r="B453" s="16" t="s">
        <v>1375</v>
      </c>
      <c r="C453" s="16" t="s">
        <v>232</v>
      </c>
      <c r="D453" s="16" t="s">
        <v>233</v>
      </c>
      <c r="E453" s="17" t="n">
        <v>2</v>
      </c>
      <c r="F453" s="7" t="s">
        <f>=DATEDIF(A453,$O$2,"y")</f>
      </c>
      <c r="G453" s="7" t="s">
        <f>=DATEDIF(A453,$O$2,"ym")</f>
      </c>
      <c r="H453" s="7" t="s">
        <f>=DATEDIF(A453,$O$2,"md")</f>
      </c>
      <c r="I453" s="7" t="n">
        <v>265</v>
      </c>
      <c r="J453" s="17" t="n">
        <v>548.64</v>
      </c>
      <c r="K453" s="6" t="s">
        <f>=Портфель!F77*Портфель!G77/100*Портфель!$Q$13+Портфель!H77*Портфель!$Q$13</f>
      </c>
      <c r="L453" s="6" t="s">
        <f>=E453*K453</f>
      </c>
      <c r="M453" s="6" t="s">
        <f>=(K453-J453)*E453</f>
      </c>
      <c r="N453" s="6" t="s">
        <f>=MAX(0,M453*0.13)</f>
      </c>
    </row>
    <row collapsed="false" customFormat="false" customHeight="false" hidden="false" ht="12.1" outlineLevel="0" r="454">
      <c r="A454" s="36" t="n">
        <v>45776</v>
      </c>
      <c r="B454" s="16" t="s">
        <v>1375</v>
      </c>
      <c r="C454" s="16" t="s">
        <v>234</v>
      </c>
      <c r="D454" s="16" t="s">
        <v>235</v>
      </c>
      <c r="E454" s="17" t="n">
        <v>1</v>
      </c>
      <c r="F454" s="7" t="s">
        <f>=DATEDIF(A454,$O$2,"y")</f>
      </c>
      <c r="G454" s="7" t="s">
        <f>=DATEDIF(A454,$O$2,"ym")</f>
      </c>
      <c r="H454" s="7" t="s">
        <f>=DATEDIF(A454,$O$2,"md")</f>
      </c>
      <c r="I454" s="7" t="n">
        <v>302</v>
      </c>
      <c r="J454" s="17" t="n">
        <v>1032.56</v>
      </c>
      <c r="K454" s="6" t="s">
        <f>=Портфель!F78*Портфель!G78/100*Портфель!$Q$13+Портфель!H78*Портфель!$Q$13</f>
      </c>
      <c r="L454" s="6" t="s">
        <f>=E454*K454</f>
      </c>
      <c r="M454" s="6" t="s">
        <f>=(K454-J454)*E454</f>
      </c>
      <c r="N454" s="6" t="s">
        <f>=MAX(0,M454*0.13)</f>
      </c>
    </row>
    <row collapsed="false" customFormat="false" customHeight="false" hidden="false" ht="12.1" outlineLevel="0" r="455">
      <c r="A455" s="36" t="n">
        <v>45729</v>
      </c>
      <c r="B455" s="16" t="s">
        <v>1375</v>
      </c>
      <c r="C455" s="16" t="s">
        <v>237</v>
      </c>
      <c r="D455" s="16" t="s">
        <v>238</v>
      </c>
      <c r="E455" s="17" t="n">
        <v>1</v>
      </c>
      <c r="F455" s="7" t="s">
        <f>=DATEDIF(A455,$O$2,"y")</f>
      </c>
      <c r="G455" s="7" t="s">
        <f>=DATEDIF(A455,$O$2,"ym")</f>
      </c>
      <c r="H455" s="7" t="s">
        <f>=DATEDIF(A455,$O$2,"md")</f>
      </c>
      <c r="I455" s="7" t="n">
        <v>349</v>
      </c>
      <c r="J455" s="17" t="n">
        <v>1102.66</v>
      </c>
      <c r="K455" s="6" t="s">
        <f>=Портфель!F79*Портфель!G79/100*Портфель!$Q$13+Портфель!H79*Портфель!$Q$13</f>
      </c>
      <c r="L455" s="6" t="s">
        <f>=E455*K455</f>
      </c>
      <c r="M455" s="6" t="s">
        <f>=(K455-J455)*E455</f>
      </c>
      <c r="N455" s="6" t="s">
        <f>=MAX(0,M455*0.13)</f>
      </c>
    </row>
    <row collapsed="false" customFormat="false" customHeight="false" hidden="false" ht="12.1" outlineLevel="0" r="456">
      <c r="A456" s="36" t="n">
        <v>44903</v>
      </c>
      <c r="B456" s="16" t="s">
        <v>1375</v>
      </c>
      <c r="C456" s="16" t="s">
        <v>240</v>
      </c>
      <c r="D456" s="16" t="s">
        <v>241</v>
      </c>
      <c r="E456" s="17" t="n">
        <v>1</v>
      </c>
      <c r="F456" s="7" t="s">
        <f>=DATEDIF(A456,$O$2,"y")</f>
      </c>
      <c r="G456" s="7" t="s">
        <f>=DATEDIF(A456,$O$2,"ym")</f>
      </c>
      <c r="H456" s="7" t="s">
        <f>=DATEDIF(A456,$O$2,"md")</f>
      </c>
      <c r="I456" s="7" t="n">
        <v>1175</v>
      </c>
      <c r="J456" s="17" t="n">
        <v>1068.61</v>
      </c>
      <c r="K456" s="6" t="s">
        <f>=Портфель!F80*Портфель!G80/100*Портфель!$Q$13+Портфель!H80*Портфель!$Q$13</f>
      </c>
      <c r="L456" s="6" t="s">
        <f>=E456*K456</f>
      </c>
      <c r="M456" s="6" t="s">
        <f>=(K456-J456)*E456</f>
      </c>
      <c r="N456" s="6" t="s">
        <f>=MAX(0,M456*0.13)</f>
      </c>
    </row>
    <row collapsed="false" customFormat="false" customHeight="false" hidden="false" ht="12.1" outlineLevel="0" r="457">
      <c r="A457" s="36" t="n">
        <v>46055</v>
      </c>
      <c r="B457" s="16" t="s">
        <v>1375</v>
      </c>
      <c r="C457" s="16" t="s">
        <v>243</v>
      </c>
      <c r="D457" s="16" t="s">
        <v>244</v>
      </c>
      <c r="E457" s="17" t="n">
        <v>1</v>
      </c>
      <c r="F457" s="7" t="s">
        <f>=DATEDIF(A457,$O$2,"y")</f>
      </c>
      <c r="G457" s="7" t="s">
        <f>=DATEDIF(A457,$O$2,"ym")</f>
      </c>
      <c r="H457" s="7" t="s">
        <f>=DATEDIF(A457,$O$2,"md")</f>
      </c>
      <c r="I457" s="7" t="n">
        <v>23</v>
      </c>
      <c r="J457" s="17" t="n">
        <v>1060.38</v>
      </c>
      <c r="K457" s="6" t="s">
        <f>=Портфель!F81*Портфель!G81/100*Портфель!$Q$13+Портфель!H81*Портфель!$Q$13</f>
      </c>
      <c r="L457" s="6" t="s">
        <f>=E457*K457</f>
      </c>
      <c r="M457" s="6" t="s">
        <f>=(K457-J457)*E457</f>
      </c>
      <c r="N457" s="6" t="s">
        <f>=MAX(0,M457*0.13)</f>
      </c>
    </row>
    <row collapsed="false" customFormat="false" customHeight="false" hidden="false" ht="12.1" outlineLevel="0" r="458">
      <c r="A458" s="36" t="n">
        <v>45776</v>
      </c>
      <c r="B458" s="16" t="s">
        <v>1375</v>
      </c>
      <c r="C458" s="16" t="s">
        <v>246</v>
      </c>
      <c r="D458" s="16" t="s">
        <v>247</v>
      </c>
      <c r="E458" s="17" t="n">
        <v>1</v>
      </c>
      <c r="F458" s="7" t="s">
        <f>=DATEDIF(A458,$O$2,"y")</f>
      </c>
      <c r="G458" s="7" t="s">
        <f>=DATEDIF(A458,$O$2,"ym")</f>
      </c>
      <c r="H458" s="7" t="s">
        <f>=DATEDIF(A458,$O$2,"md")</f>
      </c>
      <c r="I458" s="7" t="n">
        <v>302</v>
      </c>
      <c r="J458" s="17" t="n">
        <v>1045.7</v>
      </c>
      <c r="K458" s="6" t="s">
        <f>=Портфель!F82*Портфель!G82/100*Портфель!$Q$13+Портфель!H82*Портфель!$Q$13</f>
      </c>
      <c r="L458" s="6" t="s">
        <f>=E458*K458</f>
      </c>
      <c r="M458" s="6" t="s">
        <f>=(K458-J458)*E458</f>
      </c>
      <c r="N458" s="6" t="s">
        <f>=MAX(0,M458*0.13)</f>
      </c>
    </row>
    <row collapsed="false" customFormat="false" customHeight="false" hidden="false" ht="12.1" outlineLevel="0" r="459">
      <c r="A459" s="36" t="n">
        <v>46055</v>
      </c>
      <c r="B459" s="16" t="s">
        <v>1375</v>
      </c>
      <c r="C459" s="16" t="s">
        <v>249</v>
      </c>
      <c r="D459" s="16" t="s">
        <v>250</v>
      </c>
      <c r="E459" s="17" t="n">
        <v>1</v>
      </c>
      <c r="F459" s="7" t="s">
        <f>=DATEDIF(A459,$O$2,"y")</f>
      </c>
      <c r="G459" s="7" t="s">
        <f>=DATEDIF(A459,$O$2,"ym")</f>
      </c>
      <c r="H459" s="7" t="s">
        <f>=DATEDIF(A459,$O$2,"md")</f>
      </c>
      <c r="I459" s="7" t="n">
        <v>23</v>
      </c>
      <c r="J459" s="17" t="n">
        <v>986.75</v>
      </c>
      <c r="K459" s="6" t="s">
        <f>=Портфель!F83*Портфель!G83/100*Портфель!$Q$13+Портфель!H83*Портфель!$Q$13</f>
      </c>
      <c r="L459" s="6" t="s">
        <f>=E459*K459</f>
      </c>
      <c r="M459" s="6" t="s">
        <f>=(K459-J459)*E459</f>
      </c>
      <c r="N459" s="6" t="s">
        <f>=MAX(0,M459*0.13)</f>
      </c>
    </row>
    <row collapsed="false" customFormat="false" customHeight="false" hidden="false" ht="12.1" outlineLevel="0" r="460">
      <c r="A460" s="36" t="n">
        <v>45776</v>
      </c>
      <c r="B460" s="16" t="s">
        <v>1375</v>
      </c>
      <c r="C460" s="16" t="s">
        <v>252</v>
      </c>
      <c r="D460" s="16" t="s">
        <v>253</v>
      </c>
      <c r="E460" s="17" t="n">
        <v>1</v>
      </c>
      <c r="F460" s="7" t="s">
        <f>=DATEDIF(A460,$O$2,"y")</f>
      </c>
      <c r="G460" s="7" t="s">
        <f>=DATEDIF(A460,$O$2,"ym")</f>
      </c>
      <c r="H460" s="7" t="s">
        <f>=DATEDIF(A460,$O$2,"md")</f>
      </c>
      <c r="I460" s="7" t="n">
        <v>302</v>
      </c>
      <c r="J460" s="17" t="n">
        <v>1022.21</v>
      </c>
      <c r="K460" s="6" t="s">
        <f>=Портфель!F84*Портфель!G84/100*Портфель!$Q$13+Портфель!H84*Портфель!$Q$13</f>
      </c>
      <c r="L460" s="6" t="s">
        <f>=E460*K460</f>
      </c>
      <c r="M460" s="6" t="s">
        <f>=(K460-J460)*E460</f>
      </c>
      <c r="N460" s="6" t="s">
        <f>=MAX(0,M460*0.13)</f>
      </c>
    </row>
    <row collapsed="false" customFormat="false" customHeight="false" hidden="false" ht="12.1" outlineLevel="0" r="461">
      <c r="A461" s="36" t="n">
        <v>46055</v>
      </c>
      <c r="B461" s="16" t="s">
        <v>1375</v>
      </c>
      <c r="C461" s="16" t="s">
        <v>254</v>
      </c>
      <c r="D461" s="16" t="s">
        <v>255</v>
      </c>
      <c r="E461" s="17" t="n">
        <v>1</v>
      </c>
      <c r="F461" s="7" t="s">
        <f>=DATEDIF(A461,$O$2,"y")</f>
      </c>
      <c r="G461" s="7" t="s">
        <f>=DATEDIF(A461,$O$2,"ym")</f>
      </c>
      <c r="H461" s="7" t="s">
        <f>=DATEDIF(A461,$O$2,"md")</f>
      </c>
      <c r="I461" s="7" t="n">
        <v>23</v>
      </c>
      <c r="J461" s="17" t="n">
        <v>988.66</v>
      </c>
      <c r="K461" s="6" t="s">
        <f>=Портфель!F85*Портфель!G85/100*Портфель!$Q$13+Портфель!H85*Портфель!$Q$13</f>
      </c>
      <c r="L461" s="6" t="s">
        <f>=E461*K461</f>
      </c>
      <c r="M461" s="6" t="s">
        <f>=(K461-J461)*E461</f>
      </c>
      <c r="N461" s="6" t="s">
        <f>=MAX(0,M461*0.13)</f>
      </c>
    </row>
    <row collapsed="false" customFormat="false" customHeight="false" hidden="false" ht="12.1" outlineLevel="0" r="462">
      <c r="A462" s="36" t="n">
        <v>45751</v>
      </c>
      <c r="B462" s="16" t="s">
        <v>1375</v>
      </c>
      <c r="C462" s="16" t="s">
        <v>257</v>
      </c>
      <c r="D462" s="16" t="s">
        <v>258</v>
      </c>
      <c r="E462" s="17" t="n">
        <v>1</v>
      </c>
      <c r="F462" s="7" t="s">
        <f>=DATEDIF(A462,$O$2,"y")</f>
      </c>
      <c r="G462" s="7" t="s">
        <f>=DATEDIF(A462,$O$2,"ym")</f>
      </c>
      <c r="H462" s="7" t="s">
        <f>=DATEDIF(A462,$O$2,"md")</f>
      </c>
      <c r="I462" s="7" t="n">
        <v>327</v>
      </c>
      <c r="J462" s="17" t="n">
        <v>981.05</v>
      </c>
      <c r="K462" s="6" t="s">
        <f>=Портфель!F86*Портфель!G86/100*Портфель!$Q$13+Портфель!H86*Портфель!$Q$13</f>
      </c>
      <c r="L462" s="6" t="s">
        <f>=E462*K462</f>
      </c>
      <c r="M462" s="6" t="s">
        <f>=(K462-J462)*E462</f>
      </c>
      <c r="N462" s="6" t="s">
        <f>=MAX(0,M462*0.13)</f>
      </c>
    </row>
    <row collapsed="false" customFormat="false" customHeight="false" hidden="false" ht="12.1" outlineLevel="0" r="463">
      <c r="A463" s="36" t="n">
        <v>44866</v>
      </c>
      <c r="B463" s="16" t="s">
        <v>1375</v>
      </c>
      <c r="C463" s="16" t="s">
        <v>260</v>
      </c>
      <c r="D463" s="16" t="s">
        <v>261</v>
      </c>
      <c r="E463" s="17" t="n">
        <v>1</v>
      </c>
      <c r="F463" s="7" t="s">
        <f>=DATEDIF(A463,$O$2,"y")</f>
      </c>
      <c r="G463" s="7" t="s">
        <f>=DATEDIF(A463,$O$2,"ym")</f>
      </c>
      <c r="H463" s="7" t="s">
        <f>=DATEDIF(A463,$O$2,"md")</f>
      </c>
      <c r="I463" s="7" t="n">
        <v>1212</v>
      </c>
      <c r="J463" s="17" t="n">
        <v>1028.46</v>
      </c>
      <c r="K463" s="6" t="s">
        <f>=Портфель!F87*Портфель!G87/100*Портфель!$Q$13+Портфель!H87*Портфель!$Q$13</f>
      </c>
      <c r="L463" s="6" t="s">
        <f>=E463*K463</f>
      </c>
      <c r="M463" s="6" t="s">
        <f>=(K463-J463)*E463</f>
      </c>
      <c r="N463" s="6" t="s">
        <f>=MAX(0,M463*0.13)</f>
      </c>
    </row>
    <row collapsed="false" customFormat="false" customHeight="false" hidden="false" ht="12.1" outlineLevel="0" r="464">
      <c r="A464" s="36" t="n">
        <v>46055</v>
      </c>
      <c r="B464" s="16" t="s">
        <v>1375</v>
      </c>
      <c r="C464" s="16" t="s">
        <v>263</v>
      </c>
      <c r="D464" s="16" t="s">
        <v>264</v>
      </c>
      <c r="E464" s="17" t="n">
        <v>1</v>
      </c>
      <c r="F464" s="7" t="s">
        <f>=DATEDIF(A464,$O$2,"y")</f>
      </c>
      <c r="G464" s="7" t="s">
        <f>=DATEDIF(A464,$O$2,"ym")</f>
      </c>
      <c r="H464" s="7" t="s">
        <f>=DATEDIF(A464,$O$2,"md")</f>
      </c>
      <c r="I464" s="7" t="n">
        <v>23</v>
      </c>
      <c r="J464" s="17" t="n">
        <v>1021.7</v>
      </c>
      <c r="K464" s="6" t="s">
        <f>=Портфель!F88*Портфель!G88/100*Портфель!$Q$13+Портфель!H88*Портфель!$Q$13</f>
      </c>
      <c r="L464" s="6" t="s">
        <f>=E464*K464</f>
      </c>
      <c r="M464" s="6" t="s">
        <f>=(K464-J464)*E464</f>
      </c>
      <c r="N464" s="6" t="s">
        <f>=MAX(0,M464*0.13)</f>
      </c>
    </row>
    <row collapsed="false" customFormat="false" customHeight="false" hidden="false" ht="12.1" outlineLevel="0" r="465">
      <c r="A465" s="36" t="n">
        <v>45541</v>
      </c>
      <c r="B465" s="16" t="s">
        <v>1375</v>
      </c>
      <c r="C465" s="16" t="s">
        <v>266</v>
      </c>
      <c r="D465" s="16" t="s">
        <v>267</v>
      </c>
      <c r="E465" s="17" t="n">
        <v>1</v>
      </c>
      <c r="F465" s="7" t="s">
        <f>=DATEDIF(A465,$O$2,"y")</f>
      </c>
      <c r="G465" s="7" t="s">
        <f>=DATEDIF(A465,$O$2,"ym")</f>
      </c>
      <c r="H465" s="7" t="s">
        <f>=DATEDIF(A465,$O$2,"md")</f>
      </c>
      <c r="I465" s="7" t="n">
        <v>537</v>
      </c>
      <c r="J465" s="17" t="n">
        <v>842.03</v>
      </c>
      <c r="K465" s="6" t="s">
        <f>=Портфель!F89*Портфель!G89/100*Портфель!$Q$13+Портфель!H89*Портфель!$Q$13</f>
      </c>
      <c r="L465" s="6" t="s">
        <f>=E465*K465</f>
      </c>
      <c r="M465" s="6" t="s">
        <f>=(K465-J465)*E465</f>
      </c>
      <c r="N465" s="6" t="s">
        <f>=MAX(0,M465*0.13)</f>
      </c>
    </row>
    <row collapsed="false" customFormat="false" customHeight="false" hidden="false" ht="12.1" outlineLevel="0" r="466">
      <c r="A466" s="36" t="n">
        <v>45729</v>
      </c>
      <c r="B466" s="16" t="s">
        <v>1375</v>
      </c>
      <c r="C466" s="16" t="s">
        <v>269</v>
      </c>
      <c r="D466" s="16" t="s">
        <v>270</v>
      </c>
      <c r="E466" s="17" t="n">
        <v>1</v>
      </c>
      <c r="F466" s="7" t="s">
        <f>=DATEDIF(A466,$O$2,"y")</f>
      </c>
      <c r="G466" s="7" t="s">
        <f>=DATEDIF(A466,$O$2,"ym")</f>
      </c>
      <c r="H466" s="7" t="s">
        <f>=DATEDIF(A466,$O$2,"md")</f>
      </c>
      <c r="I466" s="7" t="n">
        <v>349</v>
      </c>
      <c r="J466" s="17" t="n">
        <v>894.46</v>
      </c>
      <c r="K466" s="6" t="s">
        <f>=Портфель!F90*Портфель!G90/100*Портфель!$Q$13+Портфель!H90*Портфель!$Q$13</f>
      </c>
      <c r="L466" s="6" t="s">
        <f>=E466*K466</f>
      </c>
      <c r="M466" s="6" t="s">
        <f>=(K466-J466)*E466</f>
      </c>
      <c r="N466" s="6" t="s">
        <f>=MAX(0,M466*0.13)</f>
      </c>
    </row>
    <row collapsed="false" customFormat="false" customHeight="false" hidden="false" ht="12.1" outlineLevel="0" r="467">
      <c r="A467" s="36" t="n">
        <v>45147</v>
      </c>
      <c r="B467" s="16" t="s">
        <v>1375</v>
      </c>
      <c r="C467" s="16" t="s">
        <v>272</v>
      </c>
      <c r="D467" s="16" t="s">
        <v>273</v>
      </c>
      <c r="E467" s="17" t="n">
        <v>1</v>
      </c>
      <c r="F467" s="7" t="s">
        <f>=DATEDIF(A467,$O$2,"y")</f>
      </c>
      <c r="G467" s="7" t="s">
        <f>=DATEDIF(A467,$O$2,"ym")</f>
      </c>
      <c r="H467" s="7" t="s">
        <f>=DATEDIF(A467,$O$2,"md")</f>
      </c>
      <c r="I467" s="7" t="n">
        <v>931</v>
      </c>
      <c r="J467" s="17" t="n">
        <v>1013.35</v>
      </c>
      <c r="K467" s="6" t="s">
        <f>=Портфель!F91*Портфель!G91/100*Портфель!$Q$13+Портфель!H91*Портфель!$Q$13</f>
      </c>
      <c r="L467" s="6" t="s">
        <f>=E467*K467</f>
      </c>
      <c r="M467" s="6" t="s">
        <f>=(K467-J467)*E467</f>
      </c>
      <c r="N467" s="6" t="s">
        <f>=MAX(0,M467*0.13)</f>
      </c>
    </row>
    <row collapsed="false" customFormat="false" customHeight="false" hidden="false" ht="12.1" outlineLevel="0" r="468">
      <c r="A468" s="36" t="n">
        <v>44862</v>
      </c>
      <c r="B468" s="16" t="s">
        <v>1375</v>
      </c>
      <c r="C468" s="16" t="s">
        <v>275</v>
      </c>
      <c r="D468" s="16" t="s">
        <v>276</v>
      </c>
      <c r="E468" s="17" t="n">
        <v>1</v>
      </c>
      <c r="F468" s="7" t="s">
        <f>=DATEDIF(A468,$O$2,"y")</f>
      </c>
      <c r="G468" s="7" t="s">
        <f>=DATEDIF(A468,$O$2,"ym")</f>
      </c>
      <c r="H468" s="7" t="s">
        <f>=DATEDIF(A468,$O$2,"md")</f>
      </c>
      <c r="I468" s="7" t="n">
        <v>1216</v>
      </c>
      <c r="J468" s="17" t="n">
        <v>957.61</v>
      </c>
      <c r="K468" s="6" t="s">
        <f>=Портфель!F92*Портфель!G92/100*Портфель!$Q$13+Портфель!H92*Портфель!$Q$13</f>
      </c>
      <c r="L468" s="6" t="s">
        <f>=E468*K468</f>
      </c>
      <c r="M468" s="6" t="s">
        <f>=(K468-J468)*E468</f>
      </c>
      <c r="N468" s="6" t="s">
        <f>=MAX(0,M468*0.13)</f>
      </c>
    </row>
    <row collapsed="false" customFormat="false" customHeight="false" hidden="false" ht="12.1" outlineLevel="0" r="469">
      <c r="A469" s="36" t="n">
        <v>45356</v>
      </c>
      <c r="B469" s="16" t="s">
        <v>1375</v>
      </c>
      <c r="C469" s="16" t="s">
        <v>278</v>
      </c>
      <c r="D469" s="16" t="s">
        <v>279</v>
      </c>
      <c r="E469" s="17" t="n">
        <v>1</v>
      </c>
      <c r="F469" s="7" t="s">
        <f>=DATEDIF(A469,$O$2,"y")</f>
      </c>
      <c r="G469" s="7" t="s">
        <f>=DATEDIF(A469,$O$2,"ym")</f>
      </c>
      <c r="H469" s="7" t="s">
        <f>=DATEDIF(A469,$O$2,"md")</f>
      </c>
      <c r="I469" s="7" t="n">
        <v>722</v>
      </c>
      <c r="J469" s="17" t="n">
        <v>1022.03</v>
      </c>
      <c r="K469" s="6" t="s">
        <f>=Портфель!F93*Портфель!G93/100*Портфель!$Q$13+Портфель!H93*Портфель!$Q$13</f>
      </c>
      <c r="L469" s="6" t="s">
        <f>=E469*K469</f>
      </c>
      <c r="M469" s="6" t="s">
        <f>=(K469-J469)*E469</f>
      </c>
      <c r="N469" s="6" t="s">
        <f>=MAX(0,M469*0.13)</f>
      </c>
    </row>
    <row collapsed="false" customFormat="false" customHeight="false" hidden="false" ht="12.1" outlineLevel="0" r="470">
      <c r="A470" s="36" t="n">
        <v>45541</v>
      </c>
      <c r="B470" s="16" t="s">
        <v>1375</v>
      </c>
      <c r="C470" s="16" t="s">
        <v>281</v>
      </c>
      <c r="D470" s="16" t="s">
        <v>282</v>
      </c>
      <c r="E470" s="17" t="n">
        <v>1</v>
      </c>
      <c r="F470" s="7" t="s">
        <f>=DATEDIF(A470,$O$2,"y")</f>
      </c>
      <c r="G470" s="7" t="s">
        <f>=DATEDIF(A470,$O$2,"ym")</f>
      </c>
      <c r="H470" s="7" t="s">
        <f>=DATEDIF(A470,$O$2,"md")</f>
      </c>
      <c r="I470" s="7" t="n">
        <v>537</v>
      </c>
      <c r="J470" s="17" t="n">
        <v>912.58</v>
      </c>
      <c r="K470" s="6" t="s">
        <f>=Портфель!F94*Портфель!G94/100*Портфель!$Q$13+Портфель!H94*Портфель!$Q$13</f>
      </c>
      <c r="L470" s="6" t="s">
        <f>=E470*K470</f>
      </c>
      <c r="M470" s="6" t="s">
        <f>=(K470-J470)*E470</f>
      </c>
      <c r="N470" s="6" t="s">
        <f>=MAX(0,M470*0.13)</f>
      </c>
    </row>
    <row collapsed="false" customFormat="false" customHeight="false" hidden="false" ht="12.1" outlineLevel="0" r="471">
      <c r="A471" s="36" t="n">
        <v>45729</v>
      </c>
      <c r="B471" s="16" t="s">
        <v>1375</v>
      </c>
      <c r="C471" s="16" t="s">
        <v>284</v>
      </c>
      <c r="D471" s="16" t="s">
        <v>285</v>
      </c>
      <c r="E471" s="17" t="n">
        <v>1</v>
      </c>
      <c r="F471" s="7" t="s">
        <f>=DATEDIF(A471,$O$2,"y")</f>
      </c>
      <c r="G471" s="7" t="s">
        <f>=DATEDIF(A471,$O$2,"ym")</f>
      </c>
      <c r="H471" s="7" t="s">
        <f>=DATEDIF(A471,$O$2,"md")</f>
      </c>
      <c r="I471" s="7" t="n">
        <v>349</v>
      </c>
      <c r="J471" s="17" t="n">
        <v>916.86</v>
      </c>
      <c r="K471" s="6" t="s">
        <f>=Портфель!F95*Портфель!G95/100*Портфель!$Q$13+Портфель!H95*Портфель!$Q$13</f>
      </c>
      <c r="L471" s="6" t="s">
        <f>=E471*K471</f>
      </c>
      <c r="M471" s="6" t="s">
        <f>=(K471-J471)*E471</f>
      </c>
      <c r="N471" s="6" t="s">
        <f>=MAX(0,M471*0.13)</f>
      </c>
    </row>
    <row collapsed="false" customFormat="false" customHeight="false" hidden="false" ht="12.1" outlineLevel="0" r="472">
      <c r="A472" s="36" t="n">
        <v>45082</v>
      </c>
      <c r="B472" s="16" t="s">
        <v>1375</v>
      </c>
      <c r="C472" s="16" t="s">
        <v>287</v>
      </c>
      <c r="D472" s="16" t="s">
        <v>288</v>
      </c>
      <c r="E472" s="17" t="n">
        <v>1</v>
      </c>
      <c r="F472" s="7" t="s">
        <f>=DATEDIF(A472,$O$2,"y")</f>
      </c>
      <c r="G472" s="7" t="s">
        <f>=DATEDIF(A472,$O$2,"ym")</f>
      </c>
      <c r="H472" s="7" t="s">
        <f>=DATEDIF(A472,$O$2,"md")</f>
      </c>
      <c r="I472" s="7" t="n">
        <v>996</v>
      </c>
      <c r="J472" s="17" t="n">
        <v>988.22</v>
      </c>
      <c r="K472" s="6" t="s">
        <f>=Портфель!F96*Портфель!G96/100*Портфель!$Q$13+Портфель!H96*Портфель!$Q$13</f>
      </c>
      <c r="L472" s="6" t="s">
        <f>=E472*K472</f>
      </c>
      <c r="M472" s="6" t="s">
        <f>=(K472-J472)*E472</f>
      </c>
      <c r="N472" s="6" t="s">
        <f>=MAX(0,M472*0.13)</f>
      </c>
    </row>
    <row collapsed="false" customFormat="false" customHeight="false" hidden="false" ht="12.1" outlineLevel="0" r="473">
      <c r="A473" s="36" t="n">
        <v>44929</v>
      </c>
      <c r="B473" s="16" t="s">
        <v>1375</v>
      </c>
      <c r="C473" s="16" t="s">
        <v>290</v>
      </c>
      <c r="D473" s="16" t="s">
        <v>291</v>
      </c>
      <c r="E473" s="17" t="n">
        <v>1</v>
      </c>
      <c r="F473" s="7" t="s">
        <f>=DATEDIF(A473,$O$2,"y")</f>
      </c>
      <c r="G473" s="7" t="s">
        <f>=DATEDIF(A473,$O$2,"ym")</f>
      </c>
      <c r="H473" s="7" t="s">
        <f>=DATEDIF(A473,$O$2,"md")</f>
      </c>
      <c r="I473" s="7" t="n">
        <v>1149</v>
      </c>
      <c r="J473" s="17" t="n">
        <v>1028.37</v>
      </c>
      <c r="K473" s="6" t="s">
        <f>=Портфель!F97*Портфель!G97/100*Портфель!$Q$13+Портфель!H97*Портфель!$Q$13</f>
      </c>
      <c r="L473" s="6" t="s">
        <f>=E473*K473</f>
      </c>
      <c r="M473" s="6" t="s">
        <f>=(K473-J473)*E473</f>
      </c>
      <c r="N473" s="6" t="s">
        <f>=MAX(0,M473*0.13)</f>
      </c>
    </row>
    <row collapsed="false" customFormat="false" customHeight="false" hidden="false" ht="12.1" outlineLevel="0" r="474">
      <c r="A474" s="36" t="n">
        <v>45219</v>
      </c>
      <c r="B474" s="16" t="s">
        <v>1375</v>
      </c>
      <c r="C474" s="16" t="s">
        <v>293</v>
      </c>
      <c r="D474" s="16" t="s">
        <v>294</v>
      </c>
      <c r="E474" s="17" t="n">
        <v>1</v>
      </c>
      <c r="F474" s="7" t="s">
        <f>=DATEDIF(A474,$O$2,"y")</f>
      </c>
      <c r="G474" s="7" t="s">
        <f>=DATEDIF(A474,$O$2,"ym")</f>
      </c>
      <c r="H474" s="7" t="s">
        <f>=DATEDIF(A474,$O$2,"md")</f>
      </c>
      <c r="I474" s="7" t="n">
        <v>859</v>
      </c>
      <c r="J474" s="17" t="n">
        <v>995.2</v>
      </c>
      <c r="K474" s="6" t="s">
        <f>=Портфель!F98*Портфель!G98/100*Портфель!$Q$13+Портфель!H98*Портфель!$Q$13</f>
      </c>
      <c r="L474" s="6" t="s">
        <f>=E474*K474</f>
      </c>
      <c r="M474" s="6" t="s">
        <f>=(K474-J474)*E474</f>
      </c>
      <c r="N474" s="6" t="s">
        <f>=MAX(0,M474*0.13)</f>
      </c>
    </row>
    <row collapsed="false" customFormat="false" customHeight="false" hidden="false" ht="12.1" outlineLevel="0" r="475">
      <c r="A475" s="36" t="n">
        <v>45267</v>
      </c>
      <c r="B475" s="16" t="s">
        <v>1375</v>
      </c>
      <c r="C475" s="16" t="s">
        <v>296</v>
      </c>
      <c r="D475" s="16" t="s">
        <v>297</v>
      </c>
      <c r="E475" s="17" t="n">
        <v>2</v>
      </c>
      <c r="F475" s="7" t="s">
        <f>=DATEDIF(A475,$O$2,"y")</f>
      </c>
      <c r="G475" s="7" t="s">
        <f>=DATEDIF(A475,$O$2,"ym")</f>
      </c>
      <c r="H475" s="7" t="s">
        <f>=DATEDIF(A475,$O$2,"md")</f>
      </c>
      <c r="I475" s="7" t="n">
        <v>811</v>
      </c>
      <c r="J475" s="17" t="n">
        <v>906.535</v>
      </c>
      <c r="K475" s="6" t="s">
        <f>=Портфель!F99*Портфель!G99/100*Портфель!$Q$13+Портфель!H99*Портфель!$Q$13</f>
      </c>
      <c r="L475" s="6" t="s">
        <f>=E475*K475</f>
      </c>
      <c r="M475" s="6" t="s">
        <f>=(K475-J475)*E475</f>
      </c>
      <c r="N475" s="6" t="s">
        <f>=MAX(0,M475*0.13)</f>
      </c>
    </row>
    <row collapsed="false" customFormat="false" customHeight="false" hidden="false" ht="12.1" outlineLevel="0" r="476">
      <c r="A476" s="36" t="n">
        <v>45541</v>
      </c>
      <c r="B476" s="16" t="s">
        <v>1375</v>
      </c>
      <c r="C476" s="16" t="s">
        <v>299</v>
      </c>
      <c r="D476" s="16" t="s">
        <v>300</v>
      </c>
      <c r="E476" s="17" t="n">
        <v>1</v>
      </c>
      <c r="F476" s="7" t="s">
        <f>=DATEDIF(A476,$O$2,"y")</f>
      </c>
      <c r="G476" s="7" t="s">
        <f>=DATEDIF(A476,$O$2,"ym")</f>
      </c>
      <c r="H476" s="7" t="s">
        <f>=DATEDIF(A476,$O$2,"md")</f>
      </c>
      <c r="I476" s="7" t="n">
        <v>537</v>
      </c>
      <c r="J476" s="17" t="n">
        <v>798.02</v>
      </c>
      <c r="K476" s="6" t="s">
        <f>=Портфель!F100*Портфель!G100/100*Портфель!$Q$13+Портфель!H100*Портфель!$Q$13</f>
      </c>
      <c r="L476" s="6" t="s">
        <f>=E476*K476</f>
      </c>
      <c r="M476" s="6" t="s">
        <f>=(K476-J476)*E476</f>
      </c>
      <c r="N476" s="6" t="s">
        <f>=MAX(0,M476*0.13)</f>
      </c>
    </row>
    <row collapsed="false" customFormat="false" customHeight="false" hidden="false" ht="12.1" outlineLevel="0" r="477">
      <c r="A477" s="36" t="n">
        <v>45729</v>
      </c>
      <c r="B477" s="16" t="s">
        <v>1375</v>
      </c>
      <c r="C477" s="16" t="s">
        <v>302</v>
      </c>
      <c r="D477" s="16" t="s">
        <v>303</v>
      </c>
      <c r="E477" s="17" t="n">
        <v>1</v>
      </c>
      <c r="F477" s="7" t="s">
        <f>=DATEDIF(A477,$O$2,"y")</f>
      </c>
      <c r="G477" s="7" t="s">
        <f>=DATEDIF(A477,$O$2,"ym")</f>
      </c>
      <c r="H477" s="7" t="s">
        <f>=DATEDIF(A477,$O$2,"md")</f>
      </c>
      <c r="I477" s="7" t="n">
        <v>349</v>
      </c>
      <c r="J477" s="17" t="n">
        <v>861.06</v>
      </c>
      <c r="K477" s="6" t="s">
        <f>=Портфель!F101*Портфель!G101/100*Портфель!$Q$13+Портфель!H101*Портфель!$Q$13</f>
      </c>
      <c r="L477" s="6" t="s">
        <f>=E477*K477</f>
      </c>
      <c r="M477" s="6" t="s">
        <f>=(K477-J477)*E477</f>
      </c>
      <c r="N477" s="6" t="s">
        <f>=MAX(0,M477*0.13)</f>
      </c>
    </row>
    <row collapsed="false" customFormat="false" customHeight="false" hidden="false" ht="12.1" outlineLevel="0" r="478">
      <c r="A478" s="36" t="n">
        <v>45541</v>
      </c>
      <c r="B478" s="16" t="s">
        <v>1375</v>
      </c>
      <c r="C478" s="16" t="s">
        <v>305</v>
      </c>
      <c r="D478" s="16" t="s">
        <v>306</v>
      </c>
      <c r="E478" s="17" t="n">
        <v>1</v>
      </c>
      <c r="F478" s="7" t="s">
        <f>=DATEDIF(A478,$O$2,"y")</f>
      </c>
      <c r="G478" s="7" t="s">
        <f>=DATEDIF(A478,$O$2,"ym")</f>
      </c>
      <c r="H478" s="7" t="s">
        <f>=DATEDIF(A478,$O$2,"md")</f>
      </c>
      <c r="I478" s="7" t="n">
        <v>537</v>
      </c>
      <c r="J478" s="17" t="n">
        <v>823.95</v>
      </c>
      <c r="K478" s="6" t="s">
        <f>=Портфель!F102*Портфель!G102/100*Портфель!$Q$13+Портфель!H102*Портфель!$Q$13</f>
      </c>
      <c r="L478" s="6" t="s">
        <f>=E478*K478</f>
      </c>
      <c r="M478" s="6" t="s">
        <f>=(K478-J478)*E478</f>
      </c>
      <c r="N478" s="6" t="s">
        <f>=MAX(0,M478*0.13)</f>
      </c>
    </row>
    <row collapsed="false" customFormat="false" customHeight="false" hidden="false" ht="12.1" outlineLevel="0" r="479">
      <c r="A479" s="36" t="n">
        <v>45541</v>
      </c>
      <c r="B479" s="16" t="s">
        <v>1375</v>
      </c>
      <c r="C479" s="16" t="s">
        <v>308</v>
      </c>
      <c r="D479" s="16" t="s">
        <v>309</v>
      </c>
      <c r="E479" s="17" t="n">
        <v>1</v>
      </c>
      <c r="F479" s="7" t="s">
        <f>=DATEDIF(A479,$O$2,"y")</f>
      </c>
      <c r="G479" s="7" t="s">
        <f>=DATEDIF(A479,$O$2,"ym")</f>
      </c>
      <c r="H479" s="7" t="s">
        <f>=DATEDIF(A479,$O$2,"md")</f>
      </c>
      <c r="I479" s="7" t="n">
        <v>537</v>
      </c>
      <c r="J479" s="17" t="n">
        <v>860.66</v>
      </c>
      <c r="K479" s="6" t="s">
        <f>=Портфель!F103*Портфель!G103/100*Портфель!$Q$13+Портфель!H103*Портфель!$Q$13</f>
      </c>
      <c r="L479" s="6" t="s">
        <f>=E479*K479</f>
      </c>
      <c r="M479" s="6" t="s">
        <f>=(K479-J479)*E479</f>
      </c>
      <c r="N479" s="6" t="s">
        <f>=MAX(0,M479*0.13)</f>
      </c>
    </row>
    <row collapsed="false" customFormat="false" customHeight="false" hidden="false" ht="12.1" outlineLevel="0" r="480">
      <c r="A480" s="36" t="n">
        <v>44867</v>
      </c>
      <c r="B480" s="16" t="s">
        <v>1375</v>
      </c>
      <c r="C480" s="16" t="s">
        <v>311</v>
      </c>
      <c r="D480" s="16" t="s">
        <v>312</v>
      </c>
      <c r="E480" s="17" t="n">
        <v>1</v>
      </c>
      <c r="F480" s="7" t="s">
        <f>=DATEDIF(A480,$O$2,"y")</f>
      </c>
      <c r="G480" s="7" t="s">
        <f>=DATEDIF(A480,$O$2,"ym")</f>
      </c>
      <c r="H480" s="7" t="s">
        <f>=DATEDIF(A480,$O$2,"md")</f>
      </c>
      <c r="I480" s="7" t="n">
        <v>1211</v>
      </c>
      <c r="J480" s="17" t="n">
        <v>1069.62</v>
      </c>
      <c r="K480" s="6" t="s">
        <f>=Портфель!F104*Портфель!G104/100*Портфель!$Q$13+Портфель!H104*Портфель!$Q$13</f>
      </c>
      <c r="L480" s="6" t="s">
        <f>=E480*K480</f>
      </c>
      <c r="M480" s="6" t="s">
        <f>=(K480-J480)*E480</f>
      </c>
      <c r="N480" s="6" t="s">
        <f>=MAX(0,M480*0.13)</f>
      </c>
    </row>
    <row collapsed="false" customFormat="false" customHeight="false" hidden="false" ht="12.1" outlineLevel="0" r="481">
      <c r="A481" s="36" t="n">
        <v>45776</v>
      </c>
      <c r="B481" s="16" t="s">
        <v>1375</v>
      </c>
      <c r="C481" s="16" t="s">
        <v>314</v>
      </c>
      <c r="D481" s="16" t="s">
        <v>315</v>
      </c>
      <c r="E481" s="17" t="n">
        <v>1</v>
      </c>
      <c r="F481" s="7" t="s">
        <f>=DATEDIF(A481,$O$2,"y")</f>
      </c>
      <c r="G481" s="7" t="s">
        <f>=DATEDIF(A481,$O$2,"ym")</f>
      </c>
      <c r="H481" s="7" t="s">
        <f>=DATEDIF(A481,$O$2,"md")</f>
      </c>
      <c r="I481" s="7" t="n">
        <v>302</v>
      </c>
      <c r="J481" s="17" t="n">
        <v>831.81</v>
      </c>
      <c r="K481" s="6" t="s">
        <f>=Портфель!F105*Портфель!G105/100*Портфель!$Q$13+Портфель!H105*Портфель!$Q$13</f>
      </c>
      <c r="L481" s="6" t="s">
        <f>=E481*K481</f>
      </c>
      <c r="M481" s="6" t="s">
        <f>=(K481-J481)*E481</f>
      </c>
      <c r="N481" s="6" t="s">
        <f>=MAX(0,M481*0.13)</f>
      </c>
    </row>
    <row collapsed="false" customFormat="false" customHeight="false" hidden="false" ht="12.1" outlineLevel="0" r="482">
      <c r="A482" s="36" t="n">
        <v>45751</v>
      </c>
      <c r="B482" s="16" t="s">
        <v>1375</v>
      </c>
      <c r="C482" s="16" t="s">
        <v>317</v>
      </c>
      <c r="D482" s="16" t="s">
        <v>318</v>
      </c>
      <c r="E482" s="17" t="n">
        <v>1</v>
      </c>
      <c r="F482" s="7" t="s">
        <f>=DATEDIF(A482,$O$2,"y")</f>
      </c>
      <c r="G482" s="7" t="s">
        <f>=DATEDIF(A482,$O$2,"ym")</f>
      </c>
      <c r="H482" s="7" t="s">
        <f>=DATEDIF(A482,$O$2,"md")</f>
      </c>
      <c r="I482" s="7" t="n">
        <v>327</v>
      </c>
      <c r="J482" s="17" t="n">
        <v>957.5</v>
      </c>
      <c r="K482" s="6" t="s">
        <f>=Портфель!F106*Портфель!G106/100*Портфель!$Q$13+Портфель!H106*Портфель!$Q$13</f>
      </c>
      <c r="L482" s="6" t="s">
        <f>=E482*K482</f>
      </c>
      <c r="M482" s="6" t="s">
        <f>=(K482-J482)*E482</f>
      </c>
      <c r="N482" s="6" t="s">
        <f>=MAX(0,M482*0.13)</f>
      </c>
    </row>
    <row collapsed="false" customFormat="false" customHeight="false" hidden="false" ht="12.1" outlineLevel="0" r="483">
      <c r="A483" s="36" t="n">
        <v>45541</v>
      </c>
      <c r="B483" s="16" t="s">
        <v>1375</v>
      </c>
      <c r="C483" s="16" t="s">
        <v>320</v>
      </c>
      <c r="D483" s="16" t="s">
        <v>321</v>
      </c>
      <c r="E483" s="17" t="n">
        <v>1</v>
      </c>
      <c r="F483" s="7" t="s">
        <f>=DATEDIF(A483,$O$2,"y")</f>
      </c>
      <c r="G483" s="7" t="s">
        <f>=DATEDIF(A483,$O$2,"ym")</f>
      </c>
      <c r="H483" s="7" t="s">
        <f>=DATEDIF(A483,$O$2,"md")</f>
      </c>
      <c r="I483" s="7" t="n">
        <v>537</v>
      </c>
      <c r="J483" s="17" t="n">
        <v>737.17</v>
      </c>
      <c r="K483" s="6" t="s">
        <f>=Портфель!F107*Портфель!G107/100*Портфель!$Q$13+Портфель!H107*Портфель!$Q$13</f>
      </c>
      <c r="L483" s="6" t="s">
        <f>=E483*K483</f>
      </c>
      <c r="M483" s="6" t="s">
        <f>=(K483-J483)*E483</f>
      </c>
      <c r="N483" s="6" t="s">
        <f>=MAX(0,M483*0.13)</f>
      </c>
    </row>
    <row collapsed="false" customFormat="false" customHeight="false" hidden="false" ht="12.1" outlineLevel="0" r="484">
      <c r="A484" s="36" t="n">
        <v>45541</v>
      </c>
      <c r="B484" s="16" t="s">
        <v>1375</v>
      </c>
      <c r="C484" s="16" t="s">
        <v>323</v>
      </c>
      <c r="D484" s="16" t="s">
        <v>324</v>
      </c>
      <c r="E484" s="17" t="n">
        <v>1</v>
      </c>
      <c r="F484" s="7" t="s">
        <f>=DATEDIF(A484,$O$2,"y")</f>
      </c>
      <c r="G484" s="7" t="s">
        <f>=DATEDIF(A484,$O$2,"ym")</f>
      </c>
      <c r="H484" s="7" t="s">
        <f>=DATEDIF(A484,$O$2,"md")</f>
      </c>
      <c r="I484" s="7" t="n">
        <v>537</v>
      </c>
      <c r="J484" s="17" t="n">
        <v>878.93</v>
      </c>
      <c r="K484" s="6" t="s">
        <f>=Портфель!F108*Портфель!G108/100*Портфель!$Q$13+Портфель!H108*Портфель!$Q$13</f>
      </c>
      <c r="L484" s="6" t="s">
        <f>=E484*K484</f>
      </c>
      <c r="M484" s="6" t="s">
        <f>=(K484-J484)*E484</f>
      </c>
      <c r="N484" s="6" t="s">
        <f>=MAX(0,M484*0.13)</f>
      </c>
    </row>
    <row collapsed="false" customFormat="false" customHeight="false" hidden="false" ht="12.1" outlineLevel="0" r="485">
      <c r="A485" s="36" t="n">
        <v>45670</v>
      </c>
      <c r="B485" s="16" t="s">
        <v>1375</v>
      </c>
      <c r="C485" s="16" t="s">
        <v>326</v>
      </c>
      <c r="D485" s="16" t="s">
        <v>327</v>
      </c>
      <c r="E485" s="17" t="n">
        <v>1</v>
      </c>
      <c r="F485" s="7" t="s">
        <f>=DATEDIF(A485,$O$2,"y")</f>
      </c>
      <c r="G485" s="7" t="s">
        <f>=DATEDIF(A485,$O$2,"ym")</f>
      </c>
      <c r="H485" s="7" t="s">
        <f>=DATEDIF(A485,$O$2,"md")</f>
      </c>
      <c r="I485" s="7" t="n">
        <v>408</v>
      </c>
      <c r="J485" s="17" t="n">
        <v>944.09</v>
      </c>
      <c r="K485" s="6" t="s">
        <f>=Портфель!F109*Портфель!G109/100*Портфель!$Q$13+Портфель!H109*Портфель!$Q$13</f>
      </c>
      <c r="L485" s="6" t="s">
        <f>=E485*K485</f>
      </c>
      <c r="M485" s="6" t="s">
        <f>=(K485-J485)*E485</f>
      </c>
      <c r="N485" s="6" t="s">
        <f>=MAX(0,M485*0.13)</f>
      </c>
    </row>
    <row collapsed="false" customFormat="false" customHeight="false" hidden="false" ht="12.1" outlineLevel="0" r="486">
      <c r="A486" s="36" t="n">
        <v>44860</v>
      </c>
      <c r="B486" s="16" t="s">
        <v>1375</v>
      </c>
      <c r="C486" s="16" t="s">
        <v>329</v>
      </c>
      <c r="D486" s="16" t="s">
        <v>330</v>
      </c>
      <c r="E486" s="17" t="n">
        <v>1</v>
      </c>
      <c r="F486" s="7" t="s">
        <f>=DATEDIF(A486,$O$2,"y")</f>
      </c>
      <c r="G486" s="7" t="s">
        <f>=DATEDIF(A486,$O$2,"ym")</f>
      </c>
      <c r="H486" s="7" t="s">
        <f>=DATEDIF(A486,$O$2,"md")</f>
      </c>
      <c r="I486" s="7" t="n">
        <v>1218</v>
      </c>
      <c r="J486" s="17" t="n">
        <v>913.22</v>
      </c>
      <c r="K486" s="6" t="s">
        <f>=Портфель!F110*Портфель!G110/100*Портфель!$Q$13+Портфель!H110*Портфель!$Q$13</f>
      </c>
      <c r="L486" s="6" t="s">
        <f>=E486*K486</f>
      </c>
      <c r="M486" s="6" t="s">
        <f>=(K486-J486)*E486</f>
      </c>
      <c r="N486" s="6" t="s">
        <f>=MAX(0,M486*0.13)</f>
      </c>
    </row>
    <row collapsed="false" customFormat="false" customHeight="false" hidden="false" ht="12.1" outlineLevel="0" r="487">
      <c r="A487" s="36" t="n">
        <v>45026</v>
      </c>
      <c r="B487" s="16" t="s">
        <v>1375</v>
      </c>
      <c r="C487" s="16" t="s">
        <v>331</v>
      </c>
      <c r="D487" s="16" t="s">
        <v>332</v>
      </c>
      <c r="E487" s="17" t="n">
        <v>1</v>
      </c>
      <c r="F487" s="7" t="s">
        <f>=DATEDIF(A487,$O$2,"y")</f>
      </c>
      <c r="G487" s="7" t="s">
        <f>=DATEDIF(A487,$O$2,"ym")</f>
      </c>
      <c r="H487" s="7" t="s">
        <f>=DATEDIF(A487,$O$2,"md")</f>
      </c>
      <c r="I487" s="7" t="n">
        <v>1052</v>
      </c>
      <c r="J487" s="17" t="n">
        <v>566.27</v>
      </c>
      <c r="K487" s="6" t="s">
        <f>=Портфель!F111*Портфель!G111/100*Портфель!$Q$13+Портфель!H111*Портфель!$Q$13</f>
      </c>
      <c r="L487" s="6" t="s">
        <f>=E487*K487</f>
      </c>
      <c r="M487" s="6" t="s">
        <f>=(K487-J487)*E487</f>
      </c>
      <c r="N487" s="6" t="s">
        <f>=MAX(0,M487*0.13)</f>
      </c>
    </row>
    <row collapsed="false" customFormat="false" customHeight="false" hidden="false" ht="12.1" outlineLevel="0" r="488">
      <c r="A488" s="36" t="n">
        <v>45267</v>
      </c>
      <c r="B488" s="16" t="s">
        <v>1375</v>
      </c>
      <c r="C488" s="16" t="s">
        <v>334</v>
      </c>
      <c r="D488" s="16" t="s">
        <v>335</v>
      </c>
      <c r="E488" s="17" t="n">
        <v>1</v>
      </c>
      <c r="F488" s="7" t="s">
        <f>=DATEDIF(A488,$O$2,"y")</f>
      </c>
      <c r="G488" s="7" t="s">
        <f>=DATEDIF(A488,$O$2,"ym")</f>
      </c>
      <c r="H488" s="7" t="s">
        <f>=DATEDIF(A488,$O$2,"md")</f>
      </c>
      <c r="I488" s="7" t="n">
        <v>811</v>
      </c>
      <c r="J488" s="17" t="n">
        <v>995.68</v>
      </c>
      <c r="K488" s="6" t="s">
        <f>=Портфель!F112*Портфель!G112/100*Портфель!$Q$13+Портфель!H112*Портфель!$Q$13</f>
      </c>
      <c r="L488" s="6" t="s">
        <f>=E488*K488</f>
      </c>
      <c r="M488" s="6" t="s">
        <f>=(K488-J488)*E488</f>
      </c>
      <c r="N488" s="6" t="s">
        <f>=MAX(0,M488*0.13)</f>
      </c>
    </row>
    <row collapsed="false" customFormat="false" customHeight="false" hidden="false" ht="12.1" outlineLevel="0" r="489">
      <c r="A489" s="36"/>
      <c r="B489" s="16"/>
      <c r="C489" s="16"/>
      <c r="D489" s="16"/>
      <c r="E489" s="17"/>
      <c r="F489" s="7"/>
      <c r="G489" s="17"/>
      <c r="H489" s="16"/>
      <c r="I489" s="7"/>
      <c r="J489" s="17"/>
      <c r="K489" s="4" t="s">
        <v>341</v>
      </c>
      <c r="L489" s="8" t="s">
        <f>=SUBTOTAL(109,L2:L488)</f>
      </c>
      <c r="M489" s="8" t="s">
        <f>=SUBTOTAL(109,M2:M488)</f>
      </c>
      <c r="N489" s="8" t="s">
        <f>=MAX(0,M489*0.13)</f>
      </c>
    </row>
  </sheetData>
  <autoFilter ref="A1:O48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2026-02-25T07:36:38.00Z</dcterms:created>
  <dc:creator>izi-invest.ru</dc:creator>
  <cp:revision>0</cp:revision>
</cp:coreProperties>
</file>