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windowHeight="8192" windowWidth="16384" xWindow="0" yWindow="0"/>
  </bookViews>
  <sheets>
    <sheet name="Портфель" sheetId="1" state="visible" r:id="rId2"/>
    <sheet name="XIRR" sheetId="2" state="visible" r:id="rId3"/>
    <sheet name="Доходность откр." sheetId="3" state="visible" r:id="rId4"/>
    <sheet name="Доход" sheetId="4" state="visible" r:id="rId5"/>
    <sheet name="Сделки" sheetId="5" state="visible" r:id="rId6"/>
    <sheet name="Дивиденды" sheetId="6" state="visible" r:id="rId7"/>
    <sheet name="Возраст" sheetId="7" state="visible" r:id="rId8"/>
    <sheet name="FIFO" sheetId="8" state="visible" r:id="rId9"/>
  </sheets>
  <calcPr iterateCount="100" refMode="A1" iterate="false" iterateDelta="0.001"/>
</workbook>
</file>

<file path=xl/sharedStrings.xml><?xml version="1.0" encoding="utf-8"?>
<sst xmlns="http://schemas.openxmlformats.org/spreadsheetml/2006/main" count="204" uniqueCount="106">
  <si>
    <t>Тикер</t>
  </si>
  <si>
    <t>Тип</t>
  </si>
  <si>
    <t>Название</t>
  </si>
  <si>
    <t>Валюта</t>
  </si>
  <si>
    <t>Количество</t>
  </si>
  <si>
    <t>Цена</t>
  </si>
  <si>
    <t>Номинал</t>
  </si>
  <si>
    <t>НКД</t>
  </si>
  <si>
    <t>Погашение</t>
  </si>
  <si>
    <t>Сумма</t>
  </si>
  <si>
    <t>Доходность</t>
  </si>
  <si>
    <t>Средняя цена</t>
  </si>
  <si>
    <t>Доля</t>
  </si>
  <si>
    <t>Имя</t>
  </si>
  <si>
    <t>Курс к рублю</t>
  </si>
  <si>
    <t>Курс к RUR</t>
  </si>
  <si>
    <t>GAZP</t>
  </si>
  <si>
    <t>share</t>
  </si>
  <si>
    <t>ГАЗПРОМ ао</t>
  </si>
  <si>
    <t>RUR</t>
  </si>
  <si>
    <t>AMD</t>
  </si>
  <si>
    <t>FEES</t>
  </si>
  <si>
    <t>Россети</t>
  </si>
  <si>
    <t>BYN</t>
  </si>
  <si>
    <t>KMAZ</t>
  </si>
  <si>
    <t>КАМАЗ</t>
  </si>
  <si>
    <t>CAD</t>
  </si>
  <si>
    <t>MVID</t>
  </si>
  <si>
    <t>М.видео</t>
  </si>
  <si>
    <t>CHF</t>
  </si>
  <si>
    <t>Сумма по акциям:</t>
  </si>
  <si>
    <t>CNY</t>
  </si>
  <si>
    <t>Рубль</t>
  </si>
  <si>
    <t>EUR</t>
  </si>
  <si>
    <t>Сумма по валютам:</t>
  </si>
  <si>
    <t>GBP</t>
  </si>
  <si>
    <t>Сумма:</t>
  </si>
  <si>
    <t>GLD</t>
  </si>
  <si>
    <t>HKD</t>
  </si>
  <si>
    <t>JPY</t>
  </si>
  <si>
    <t>KZT</t>
  </si>
  <si>
    <t>SLV</t>
  </si>
  <si>
    <t>TRY</t>
  </si>
  <si>
    <t>UAH</t>
  </si>
  <si>
    <t>USD</t>
  </si>
  <si>
    <t>Дата</t>
  </si>
  <si>
    <t>Примечание</t>
  </si>
  <si>
    <t>.</t>
  </si>
  <si>
    <t>..</t>
  </si>
  <si>
    <t>d</t>
  </si>
  <si>
    <t>s</t>
  </si>
  <si>
    <t>ds</t>
  </si>
  <si>
    <t>Ввод ДС</t>
  </si>
  <si>
    <t>Дивиденд по KMAZ - КАМАЗ 700шт. по 4.49 RUR - налог 409 RUR (данные из БД)</t>
  </si>
  <si>
    <t>Баланс сейчас</t>
  </si>
  <si>
    <t>XIRR</t>
  </si>
  <si>
    <t>Сред.взвеш.сумм.</t>
  </si>
  <si>
    <t>Полный доход, RUR</t>
  </si>
  <si>
    <t>Сред.год.дох.</t>
  </si>
  <si>
    <t>buy</t>
  </si>
  <si>
    <t>Стоимость сейчас</t>
  </si>
  <si>
    <t>Полный доход</t>
  </si>
  <si>
    <t>GAZP
ГАЗПРОМ ао</t>
  </si>
  <si>
    <t>FEES
Россети</t>
  </si>
  <si>
    <t>KMAZ
КАМАЗ</t>
  </si>
  <si>
    <t>MVID
М.видео</t>
  </si>
  <si>
    <t>Текущая цена</t>
  </si>
  <si>
    <t>Остаток</t>
  </si>
  <si>
    <t>Доход</t>
  </si>
  <si>
    <t>Операция</t>
  </si>
  <si>
    <t>Комиссия банка</t>
  </si>
  <si>
    <t>Комиссия ТС</t>
  </si>
  <si>
    <t>Комментарий</t>
  </si>
  <si>
    <t>input</t>
  </si>
  <si>
    <t>"ФСК - Россети" ПАО</t>
  </si>
  <si>
    <t>"М.видео" ПАО ао</t>
  </si>
  <si>
    <t>КАМАЗ ПАО</t>
  </si>
  <si>
    <t>"Газпром" (ПАО) ао</t>
  </si>
  <si>
    <t>Остаток:</t>
  </si>
  <si>
    <t>Портфель</t>
  </si>
  <si>
    <t>Кол.</t>
  </si>
  <si>
    <t>Дивиденд</t>
  </si>
  <si>
    <t>Цена отсечки</t>
  </si>
  <si>
    <t>Цена покупки</t>
  </si>
  <si>
    <t>Налог</t>
  </si>
  <si>
    <t>Сумма 
до налога</t>
  </si>
  <si>
    <t>Сумма 
после налога</t>
  </si>
  <si>
    <t>Доходность к 
цене отсечки</t>
  </si>
  <si>
    <t>Доходность к 
цене покупки</t>
  </si>
  <si>
    <t>Неклюд</t>
  </si>
  <si>
    <t>Y</t>
  </si>
  <si>
    <t>m</t>
  </si>
  <si>
    <t>Всего дней</t>
  </si>
  <si>
    <t>Цена покупки с НКД и комиссией</t>
  </si>
  <si>
    <t>Цена сейчас с НКД</t>
  </si>
  <si>
    <t>Сумма при продаже</t>
  </si>
  <si>
    <t>Прибыль</t>
  </si>
  <si>
    <t>Налог при продаже</t>
  </si>
  <si>
    <t>Сегодня</t>
  </si>
  <si>
    <t>Покупка</t>
  </si>
  <si>
    <t>Продажа</t>
  </si>
  <si>
    <t>Цена продажи</t>
  </si>
  <si>
    <t>Результат</t>
  </si>
  <si>
    <t>Доходность сделки</t>
  </si>
  <si>
    <t>Срок</t>
  </si>
  <si>
    <t>Доходность годовых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</si>
</sst>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#,##0.00"/>
    <numFmt numFmtId="166" formatCode="0"/>
    <numFmt numFmtId="167" formatCode="0.00%"/>
    <numFmt numFmtId="168" formatCode="YYYY\-MM\-DD"/>
    <numFmt numFmtId="169" formatCode="YYYY\-MM\-DD"/>
    <numFmt numFmtId="170" formatCode="0.00"/>
    <numFmt numFmtId="171" formatCode="YYYY\-MM\-DD"/>
    <numFmt numFmtId="172" formatCode="YYYY\-MM\-DD"/>
    <numFmt numFmtId="173" formatCode="YYYY\-MM\-DD"/>
    <numFmt numFmtId="174" formatCode="YYYY\-MM\-DD"/>
    <numFmt numFmtId="175" formatCode="YYYY\-MM\-DD"/>
    <numFmt numFmtId="176" formatCode="YYYY\-MM\-DD"/>
  </numFmts>
  <fonts count="3">
    <font>
      <sz val="11"/>
      <name val="Calibri"/>
      <charset val="0"/>
      <scheme val="minor"/>
      <family val="0"/>
    </font>
    <font>
      <b/>
      <sz val="11"/>
      <name val="Calibri"/>
      <charset val="0"/>
      <scheme val="minor"/>
      <family val="0"/>
    </font>
    <font>
      <color rgb="FF2C6DD4"/>
      <sz val="11"/>
      <name val="Calibri"/>
      <charset val="0"/>
      <scheme val="minor"/>
      <family val="0"/>
    </font>
  </fonts>
  <fills count="5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DAE6F5FF"/>
      </patternFill>
    </fill>
    <fill>
      <patternFill patternType="solid">
        <fgColor rgb="FFF2FFF9"/>
      </patternFill>
    </fill>
  </fills>
  <borders count="2">
    <border diagonalDown="false" diagonalUp="false"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43"/>
    <xf applyAlignment="false" applyBorder="false" applyFont="true" applyProtection="false" borderId="0" fillId="0" fontId="0" numFmtId="41"/>
    <xf applyAlignment="false" applyBorder="false" applyFont="true" applyProtection="false" borderId="0" fillId="0" fontId="0" numFmtId="44"/>
    <xf applyAlignment="false" applyBorder="false" applyFont="true" applyProtection="false" borderId="0" fillId="0" fontId="0" numFmtId="42"/>
    <xf applyAlignment="false" applyBorder="false" applyFont="true" applyProtection="false" borderId="0" fillId="0" fontId="0" numFmtId="9"/>
  </cellStyleXfs>
  <cellXfs count="30">
    <xf applyAlignment="false" applyBorder="false" applyFont="true" applyProtection="false" borderId="0" fillId="0" fontId="0" numFmtId="164"/>
    <xf applyAlignment="false" applyBorder="false" applyFont="true" applyProtection="false" borderId="0" fillId="1" fontId="0" numFmtId="164"/>
    <xf applyAlignment="true" applyBorder="false" applyFont="true" applyProtection="false" borderId="1" fillId="0" fontId="0" numFmtId="164">
      <alignment wrapText="1"/>
    </xf>
    <xf applyAlignment="true" applyBorder="false" applyFont="true" applyProtection="false" borderId="1" fillId="0" fontId="1" numFmtId="164">
      <alignment wrapText="1"/>
    </xf>
    <xf applyAlignment="false" applyBorder="false" applyFont="true" applyProtection="false" borderId="1" fillId="0" fontId="1" numFmtId="164"/>
    <xf applyAlignment="false" applyBorder="false" applyFont="true" applyProtection="false" borderId="1" fillId="2" fontId="1" numFmtId="165"/>
    <xf applyAlignment="false" applyBorder="false" applyFont="true" applyProtection="false" borderId="1" fillId="0" fontId="0" numFmtId="165"/>
    <xf applyAlignment="false" applyBorder="false" applyFont="true" applyProtection="false" borderId="1" fillId="0" fontId="0" numFmtId="166"/>
    <xf applyAlignment="false" applyBorder="false" applyFont="true" applyProtection="false" borderId="1" fillId="0" fontId="1" numFmtId="165"/>
    <xf applyAlignment="false" applyBorder="false" applyFont="true" applyProtection="false" borderId="1" fillId="0" fontId="1" numFmtId="167"/>
    <xf applyAlignment="false" applyBorder="false" applyFont="true" applyProtection="false" borderId="1" fillId="2" fontId="1" numFmtId="167"/>
    <xf applyAlignment="false" applyBorder="false" applyFont="true" applyProtection="false" borderId="1" fillId="0" fontId="1" numFmtId="168"/>
    <xf applyAlignment="false" applyBorder="false" applyFont="true" applyProtection="false" borderId="1" fillId="2" fontId="1" numFmtId="169"/>
    <xf applyAlignment="false" applyBorder="false" applyFont="true" applyProtection="false" borderId="1" fillId="0" fontId="0" numFmtId="169"/>
    <xf applyAlignment="false" applyBorder="false" applyFont="true" applyProtection="false" borderId="1" fillId="2" fontId="1" numFmtId="164"/>
    <xf applyAlignment="false" applyBorder="false" applyFont="true" applyProtection="false" borderId="1" fillId="0" fontId="2" numFmtId="164"/>
    <xf applyAlignment="false" applyBorder="false" applyFont="true" applyProtection="false" borderId="1" fillId="0" fontId="0" numFmtId="164"/>
    <xf applyAlignment="false" applyBorder="false" applyFont="true" applyProtection="false" borderId="1" fillId="0" fontId="0" numFmtId="170"/>
    <xf applyAlignment="false" applyBorder="false" applyFont="true" applyProtection="false" borderId="1" fillId="3" fontId="1" numFmtId="164"/>
    <xf applyAlignment="false" applyBorder="false" applyFont="true" applyProtection="false" borderId="1" fillId="0" fontId="0" numFmtId="171"/>
    <xf applyAlignment="false" applyBorder="false" applyFont="true" applyProtection="false" borderId="1" fillId="0" fontId="0" numFmtId="172"/>
    <xf applyAlignment="false" applyBorder="false" applyFont="true" applyProtection="false" borderId="1" fillId="4" fontId="0" numFmtId="172"/>
    <xf applyAlignment="false" applyBorder="false" applyFont="true" applyProtection="false" borderId="1" fillId="4" fontId="0" numFmtId="164"/>
    <xf applyAlignment="false" applyBorder="false" applyFont="true" applyProtection="false" borderId="1" fillId="4" fontId="0" numFmtId="166"/>
    <xf applyAlignment="false" applyBorder="false" applyFont="true" applyProtection="false" borderId="1" fillId="4" fontId="0" numFmtId="165"/>
    <xf applyAlignment="false" applyBorder="false" applyFont="true" applyProtection="false" borderId="1" fillId="0" fontId="0" numFmtId="173"/>
    <xf applyAlignment="true" applyBorder="false" applyFont="true" applyProtection="false" borderId="1" fillId="3" fontId="1" numFmtId="164">
      <alignment wrapText="1"/>
    </xf>
    <xf applyAlignment="false" applyBorder="false" applyFont="true" applyProtection="false" borderId="1" fillId="0" fontId="0" numFmtId="174"/>
    <xf applyAlignment="false" applyBorder="false" applyFont="true" applyProtection="false" borderId="1" fillId="0" fontId="0" numFmtId="175"/>
    <xf applyAlignment="false" applyBorder="false" applyFont="true" applyProtection="false" borderId="1" fillId="0" fontId="0" numFmtId="176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
            Type="http://schemas.openxmlformats.org/officeDocument/2006/relationships/worksheet" Target="worksheets/sheet1.xml"/><Relationship Id="rId3" 
            Type="http://schemas.openxmlformats.org/officeDocument/2006/relationships/worksheet" Target="worksheets/sheet2.xml"/><Relationship Id="rId4" 
            Type="http://schemas.openxmlformats.org/officeDocument/2006/relationships/worksheet" Target="worksheets/sheet3.xml"/><Relationship Id="rId5" 
            Type="http://schemas.openxmlformats.org/officeDocument/2006/relationships/worksheet" Target="worksheets/sheet4.xml"/><Relationship Id="rId6" 
            Type="http://schemas.openxmlformats.org/officeDocument/2006/relationships/worksheet" Target="worksheets/sheet5.xml"/><Relationship Id="rId7" 
            Type="http://schemas.openxmlformats.org/officeDocument/2006/relationships/worksheet" Target="worksheets/sheet6.xml"/><Relationship Id="rId8" 
            Type="http://schemas.openxmlformats.org/officeDocument/2006/relationships/worksheet" Target="worksheets/sheet7.xml"/><Relationship Id="rId9" 
            Type="http://schemas.openxmlformats.org/officeDocument/2006/relationships/worksheet" Target="worksheets/sheet8.xml"/><Relationship Id="rId10" 
           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20" customWidth="1"/>
    <col min="2" max="2" width="10" customWidth="1"/>
    <col min="3" max="3" width="20" customWidth="1"/>
    <col min="4" max="4" width="10" customWidth="1"/>
    <col min="5" max="5" width="10" customWidth="1"/>
    <col min="6" max="6" width="10" customWidth="1"/>
    <col min="7" max="7" width="10" customWidth="1"/>
    <col min="8" max="8" width="10" customWidth="1"/>
    <col min="9" max="9" width="15" customWidth="1"/>
    <col min="10" max="10" width="15" customWidth="1"/>
    <col min="11" max="11" width="10" customWidth="1"/>
    <col min="12" max="12" width="15" customWidth="1"/>
    <col min="13" max="13" width="10" customWidth="1"/>
    <col min="14" max="14" width="10" customWidth="1"/>
    <col min="15" max="15" width="10" customWidth="1"/>
    <col min="16" max="16" width="10" customWidth="1"/>
    <col min="17" max="17" width="10" customWidth="1"/>
  </cols>
  <sheetData>
    <row collapsed="false" customFormat="false" customHeight="false" hidden="false" ht="12.1" outlineLevel="0" r="1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/>
      <c r="O1" s="18" t="s">
        <v>13</v>
      </c>
      <c r="P1" s="18" t="s">
        <v>14</v>
      </c>
      <c r="Q1" s="18" t="s">
        <v>15</v>
      </c>
    </row>
    <row collapsed="false" customFormat="false" customHeight="false" hidden="false" ht="12.1" outlineLevel="0" r="2">
      <c r="A2" s="16" t="s">
        <v>16</v>
      </c>
      <c r="B2" s="16" t="s">
        <v>17</v>
      </c>
      <c r="C2" s="16" t="s">
        <v>18</v>
      </c>
      <c r="D2" s="16" t="s">
        <v>19</v>
      </c>
      <c r="E2" s="7" t="n">
        <v>780</v>
      </c>
      <c r="F2" s="6" t="n">
        <v>129.12</v>
      </c>
      <c r="G2" s="17" t="n">
        <v>0</v>
      </c>
      <c r="H2" s="6" t="n">
        <v>0</v>
      </c>
      <c r="I2" s="16"/>
      <c r="J2" s="6" t="s">
        <f>=E2*F2*Портфель!$Q$13</f>
      </c>
      <c r="K2" s="9" t="n">
        <v>0.0714</v>
      </c>
      <c r="L2" s="6" t="n">
        <v>116.94</v>
      </c>
      <c r="M2" s="17" t="n">
        <v>0.2069</v>
      </c>
      <c r="N2" s="16"/>
      <c r="O2" s="16" t="s">
        <v>20</v>
      </c>
      <c r="P2" s="17" t="n">
        <v>0.2069</v>
      </c>
      <c r="Q2" s="6" t="s">
        <f>=P2/$P$13</f>
      </c>
    </row>
    <row collapsed="false" customFormat="false" customHeight="false" hidden="false" ht="12.1" outlineLevel="0" r="3">
      <c r="A3" s="16" t="s">
        <v>21</v>
      </c>
      <c r="B3" s="16" t="s">
        <v>17</v>
      </c>
      <c r="C3" s="16" t="s">
        <v>22</v>
      </c>
      <c r="D3" s="16" t="s">
        <v>19</v>
      </c>
      <c r="E3" s="7" t="n">
        <v>1000000</v>
      </c>
      <c r="F3" s="6" t="n">
        <v>0.0722</v>
      </c>
      <c r="G3" s="17" t="n">
        <v>0</v>
      </c>
      <c r="H3" s="6" t="n">
        <v>0</v>
      </c>
      <c r="I3" s="16"/>
      <c r="J3" s="6" t="s">
        <f>=E3*F3*Портфель!$Q$13</f>
      </c>
      <c r="K3" s="9" t="n">
        <v>-0.2131</v>
      </c>
      <c r="L3" s="6" t="n">
        <v>0.1</v>
      </c>
      <c r="M3" s="17" t="n">
        <v>27.09</v>
      </c>
      <c r="N3" s="16"/>
      <c r="O3" s="16" t="s">
        <v>23</v>
      </c>
      <c r="P3" s="17" t="n">
        <v>27.09</v>
      </c>
      <c r="Q3" s="6" t="s">
        <f>=P3/$P$13</f>
      </c>
    </row>
    <row collapsed="false" customFormat="false" customHeight="false" hidden="false" ht="12.1" outlineLevel="0" r="4">
      <c r="A4" s="16" t="s">
        <v>24</v>
      </c>
      <c r="B4" s="16" t="s">
        <v>17</v>
      </c>
      <c r="C4" s="16" t="s">
        <v>25</v>
      </c>
      <c r="D4" s="16" t="s">
        <v>19</v>
      </c>
      <c r="E4" s="7" t="n">
        <v>700</v>
      </c>
      <c r="F4" s="6" t="n">
        <v>84.1</v>
      </c>
      <c r="G4" s="17" t="n">
        <v>0</v>
      </c>
      <c r="H4" s="6" t="n">
        <v>0</v>
      </c>
      <c r="I4" s="16"/>
      <c r="J4" s="6" t="s">
        <f>=E4*F4*Портфель!$Q$13</f>
      </c>
      <c r="K4" s="9" t="n">
        <v>-0.3182</v>
      </c>
      <c r="L4" s="6" t="n">
        <v>151.1</v>
      </c>
      <c r="M4" s="17" t="n">
        <v>57.884129519384</v>
      </c>
      <c r="N4" s="16"/>
      <c r="O4" s="16" t="s">
        <v>26</v>
      </c>
      <c r="P4" s="17" t="n">
        <v>57.884129519384</v>
      </c>
      <c r="Q4" s="6" t="s">
        <f>=P4/$P$13</f>
      </c>
    </row>
    <row collapsed="false" customFormat="false" customHeight="false" hidden="false" ht="12.1" outlineLevel="0" r="5">
      <c r="A5" s="16" t="s">
        <v>27</v>
      </c>
      <c r="B5" s="16" t="s">
        <v>17</v>
      </c>
      <c r="C5" s="16" t="s">
        <v>28</v>
      </c>
      <c r="D5" s="16" t="s">
        <v>19</v>
      </c>
      <c r="E5" s="7" t="n">
        <v>600</v>
      </c>
      <c r="F5" s="6" t="n">
        <v>69.7</v>
      </c>
      <c r="G5" s="17" t="n">
        <v>0</v>
      </c>
      <c r="H5" s="6" t="n">
        <v>0</v>
      </c>
      <c r="I5" s="16"/>
      <c r="J5" s="6" t="s">
        <f>=E5*F5*Портфель!$Q$13</f>
      </c>
      <c r="K5" s="9" t="n">
        <v>-0.3926</v>
      </c>
      <c r="L5" s="6" t="n">
        <v>163.11</v>
      </c>
      <c r="M5" s="17" t="n">
        <v>100.314</v>
      </c>
      <c r="N5" s="16"/>
      <c r="O5" s="16" t="s">
        <v>29</v>
      </c>
      <c r="P5" s="17" t="n">
        <v>100.314</v>
      </c>
      <c r="Q5" s="6" t="s">
        <f>=P5/$P$13</f>
      </c>
    </row>
    <row collapsed="false" customFormat="false" customHeight="false" hidden="false" ht="12.1" outlineLevel="0" r="6">
      <c r="A6" s="16"/>
      <c r="B6" s="16"/>
      <c r="C6" s="16"/>
      <c r="D6" s="16"/>
      <c r="E6" s="7"/>
      <c r="F6" s="6"/>
      <c r="G6" s="4"/>
      <c r="H6" s="4" t="s">
        <v>30</v>
      </c>
      <c r="I6" s="4"/>
      <c r="J6" s="5" t="s">
        <f>=SUM(J2:J5)</f>
      </c>
      <c r="K6" s="4"/>
      <c r="L6" s="4"/>
      <c r="M6" s="17" t="n">
        <v>11.2726</v>
      </c>
      <c r="N6" s="16"/>
      <c r="O6" s="16" t="s">
        <v>31</v>
      </c>
      <c r="P6" s="17" t="n">
        <v>11.2726</v>
      </c>
      <c r="Q6" s="6" t="s">
        <f>=P6/$P$13</f>
      </c>
    </row>
    <row collapsed="false" customFormat="false" customHeight="false" hidden="false" ht="12.1" outlineLevel="0" r="7">
      <c r="A7" s="16" t="s">
        <v>19</v>
      </c>
      <c r="B7" s="16" t="s">
        <v>3</v>
      </c>
      <c r="C7" s="16" t="s">
        <v>32</v>
      </c>
      <c r="D7" s="16" t="s">
        <v>19</v>
      </c>
      <c r="E7" s="7" t="n">
        <v>387.2</v>
      </c>
      <c r="F7" s="6" t="n">
        <v>1</v>
      </c>
      <c r="G7" s="17" t="n">
        <v>0</v>
      </c>
      <c r="H7" s="6" t="n">
        <v>0</v>
      </c>
      <c r="I7" s="16"/>
      <c r="J7" s="6" t="s">
        <f>=E7*F7</f>
      </c>
      <c r="K7" s="17"/>
      <c r="L7" s="6"/>
      <c r="M7" s="17" t="n">
        <v>93.5626</v>
      </c>
      <c r="N7" s="16"/>
      <c r="O7" s="16" t="s">
        <v>33</v>
      </c>
      <c r="P7" s="17" t="n">
        <v>93.5626</v>
      </c>
      <c r="Q7" s="6" t="s">
        <f>=P7/$P$13</f>
      </c>
    </row>
    <row collapsed="false" customFormat="false" customHeight="false" hidden="false" ht="12.1" outlineLevel="0" r="8">
      <c r="A8" s="16"/>
      <c r="B8" s="16"/>
      <c r="C8" s="16"/>
      <c r="D8" s="16"/>
      <c r="E8" s="7"/>
      <c r="F8" s="6"/>
      <c r="G8" s="4"/>
      <c r="H8" s="4" t="s">
        <v>34</v>
      </c>
      <c r="I8" s="4"/>
      <c r="J8" s="5" t="s">
        <f>=SUM(J7:J7)</f>
      </c>
      <c r="K8" s="4"/>
      <c r="L8" s="4"/>
      <c r="M8" s="17" t="n">
        <v>107.1167</v>
      </c>
      <c r="N8" s="16"/>
      <c r="O8" s="16" t="s">
        <v>35</v>
      </c>
      <c r="P8" s="17" t="n">
        <v>107.1167</v>
      </c>
      <c r="Q8" s="6" t="s">
        <f>=P8/$P$13</f>
      </c>
    </row>
    <row collapsed="false" customFormat="false" customHeight="false" hidden="false" ht="12.1" outlineLevel="0" r="9">
      <c r="A9" s="16"/>
      <c r="B9" s="16"/>
      <c r="C9" s="16"/>
      <c r="D9" s="16"/>
      <c r="E9" s="7"/>
      <c r="F9" s="6"/>
      <c r="G9" s="4"/>
      <c r="H9" s="4" t="s">
        <v>36</v>
      </c>
      <c r="I9" s="4"/>
      <c r="J9" s="5" t="s">
        <f>=J6+J8</f>
      </c>
      <c r="K9" s="17"/>
      <c r="L9" s="6"/>
      <c r="M9" s="17" t="n">
        <v>10920</v>
      </c>
      <c r="N9" s="16"/>
      <c r="O9" s="16" t="s">
        <v>37</v>
      </c>
      <c r="P9" s="17" t="n">
        <v>10920</v>
      </c>
      <c r="Q9" s="6" t="s">
        <f>=P9/$P$13</f>
      </c>
    </row>
    <row collapsed="false" customFormat="false" customHeight="false" hidden="false" ht="12.1" outlineLevel="0" r="10">
      <c r="A10" s="16"/>
      <c r="B10" s="16"/>
      <c r="C10" s="16"/>
      <c r="D10" s="16"/>
      <c r="E10" s="7"/>
      <c r="F10" s="6"/>
      <c r="G10" s="17"/>
      <c r="H10" s="6"/>
      <c r="I10" s="16"/>
      <c r="J10" s="6"/>
      <c r="K10" s="17"/>
      <c r="L10" s="6"/>
      <c r="M10" s="17" t="n">
        <v>10.369</v>
      </c>
      <c r="N10" s="16"/>
      <c r="O10" s="16" t="s">
        <v>38</v>
      </c>
      <c r="P10" s="17" t="n">
        <v>10.369</v>
      </c>
      <c r="Q10" s="6" t="s">
        <f>=P10/$P$13</f>
      </c>
    </row>
    <row collapsed="false" customFormat="false" customHeight="false" hidden="false" ht="12.1" outlineLevel="0" r="11">
      <c r="A11" s="16"/>
      <c r="B11" s="16"/>
      <c r="C11" s="16"/>
      <c r="D11" s="16"/>
      <c r="E11" s="7"/>
      <c r="F11" s="6"/>
      <c r="G11" s="17"/>
      <c r="H11" s="6"/>
      <c r="I11" s="16"/>
      <c r="J11" s="6"/>
      <c r="K11" s="17"/>
      <c r="L11" s="6"/>
      <c r="M11" s="17" t="n">
        <v>0.44</v>
      </c>
      <c r="N11" s="16"/>
      <c r="O11" s="16" t="s">
        <v>39</v>
      </c>
      <c r="P11" s="17" t="n">
        <v>0.44</v>
      </c>
      <c r="Q11" s="6" t="s">
        <f>=P11/$P$13</f>
      </c>
    </row>
    <row collapsed="false" customFormat="false" customHeight="false" hidden="false" ht="12.1" outlineLevel="0" r="12">
      <c r="A12" s="16"/>
      <c r="B12" s="16"/>
      <c r="C12" s="16"/>
      <c r="D12" s="16"/>
      <c r="E12" s="7"/>
      <c r="F12" s="6"/>
      <c r="G12" s="17"/>
      <c r="H12" s="6"/>
      <c r="I12" s="16"/>
      <c r="J12" s="6"/>
      <c r="K12" s="17"/>
      <c r="L12" s="6"/>
      <c r="M12" s="17" t="n">
        <v>0.151875</v>
      </c>
      <c r="N12" s="16"/>
      <c r="O12" s="16" t="s">
        <v>40</v>
      </c>
      <c r="P12" s="17" t="n">
        <v>0.151875</v>
      </c>
      <c r="Q12" s="6" t="s">
        <f>=P12/$P$13</f>
      </c>
    </row>
    <row collapsed="false" customFormat="false" customHeight="false" hidden="false" ht="12.1" outlineLevel="0" r="13">
      <c r="A13" s="16"/>
      <c r="B13" s="16"/>
      <c r="C13" s="16"/>
      <c r="D13" s="16"/>
      <c r="E13" s="7"/>
      <c r="F13" s="6"/>
      <c r="G13" s="17"/>
      <c r="H13" s="6"/>
      <c r="I13" s="16"/>
      <c r="J13" s="6"/>
      <c r="K13" s="17"/>
      <c r="L13" s="6"/>
      <c r="M13" s="17" t="n">
        <v>1</v>
      </c>
      <c r="N13" s="16"/>
      <c r="O13" s="16" t="s">
        <v>19</v>
      </c>
      <c r="P13" s="17" t="n">
        <v>1</v>
      </c>
      <c r="Q13" s="6" t="s">
        <f>=P13/$P$13</f>
      </c>
    </row>
    <row collapsed="false" customFormat="false" customHeight="false" hidden="false" ht="12.1" outlineLevel="0" r="14">
      <c r="A14" s="16"/>
      <c r="B14" s="16"/>
      <c r="C14" s="16"/>
      <c r="D14" s="16"/>
      <c r="E14" s="7"/>
      <c r="F14" s="6"/>
      <c r="G14" s="17"/>
      <c r="H14" s="6"/>
      <c r="I14" s="16"/>
      <c r="J14" s="6"/>
      <c r="K14" s="17"/>
      <c r="L14" s="6"/>
      <c r="M14" s="17" t="n">
        <v>161.87</v>
      </c>
      <c r="N14" s="16"/>
      <c r="O14" s="16" t="s">
        <v>41</v>
      </c>
      <c r="P14" s="17" t="n">
        <v>161.87</v>
      </c>
      <c r="Q14" s="6" t="s">
        <f>=P14/$P$13</f>
      </c>
    </row>
    <row collapsed="false" customFormat="false" customHeight="false" hidden="false" ht="12.1" outlineLevel="0" r="15">
      <c r="A15" s="16"/>
      <c r="B15" s="16"/>
      <c r="C15" s="16"/>
      <c r="D15" s="16"/>
      <c r="E15" s="7"/>
      <c r="F15" s="6"/>
      <c r="G15" s="17"/>
      <c r="H15" s="6"/>
      <c r="I15" s="16"/>
      <c r="J15" s="6"/>
      <c r="K15" s="17"/>
      <c r="L15" s="6"/>
      <c r="M15" s="17" t="n">
        <v>1.735</v>
      </c>
      <c r="N15" s="16"/>
      <c r="O15" s="16" t="s">
        <v>42</v>
      </c>
      <c r="P15" s="17" t="n">
        <v>1.735</v>
      </c>
      <c r="Q15" s="6" t="s">
        <f>=P15/$P$13</f>
      </c>
    </row>
    <row collapsed="false" customFormat="false" customHeight="false" hidden="false" ht="12.1" outlineLevel="0" r="16">
      <c r="A16" s="16"/>
      <c r="B16" s="16"/>
      <c r="C16" s="16"/>
      <c r="D16" s="16"/>
      <c r="E16" s="7"/>
      <c r="F16" s="6"/>
      <c r="G16" s="17"/>
      <c r="H16" s="6"/>
      <c r="I16" s="16"/>
      <c r="J16" s="6"/>
      <c r="K16" s="17"/>
      <c r="L16" s="6"/>
      <c r="M16" s="17" t="n">
        <v>2.11125</v>
      </c>
      <c r="N16" s="16"/>
      <c r="O16" s="16" t="s">
        <v>43</v>
      </c>
      <c r="P16" s="17" t="n">
        <v>2.11125</v>
      </c>
      <c r="Q16" s="6" t="s">
        <f>=P16/$P$13</f>
      </c>
    </row>
    <row collapsed="false" customFormat="false" customHeight="false" hidden="false" ht="12.1" outlineLevel="0" r="17">
      <c r="A17" s="16"/>
      <c r="B17" s="16"/>
      <c r="C17" s="16"/>
      <c r="D17" s="16"/>
      <c r="E17" s="7"/>
      <c r="F17" s="6"/>
      <c r="G17" s="17"/>
      <c r="H17" s="6"/>
      <c r="I17" s="16"/>
      <c r="J17" s="6"/>
      <c r="K17" s="17"/>
      <c r="L17" s="6"/>
      <c r="M17" s="17" t="n">
        <v>79.7296</v>
      </c>
      <c r="N17" s="16"/>
      <c r="O17" s="16" t="s">
        <v>44</v>
      </c>
      <c r="P17" s="17" t="n">
        <v>79.7296</v>
      </c>
      <c r="Q17" s="6" t="s">
        <f>=P17/$P$13</f>
      </c>
    </row>
  </sheetData>
  <mergeCells>
    <mergeCell ref="H6:I6"/>
    <mergeCell ref="H8:I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60" customWidth="1"/>
    <col min="4" max="4" width="10" customWidth="1"/>
    <col min="5" max="5" width="10" customWidth="1"/>
    <col min="6" max="6" width="10" customWidth="1"/>
    <col min="7" max="7" width="15" customWidth="1"/>
    <col min="8" max="8" width="15" customWidth="1"/>
  </cols>
  <sheetData>
    <row collapsed="false" customFormat="false" customHeight="false" hidden="false" ht="12.1" outlineLevel="0" r="1">
      <c r="A1" s="18" t="s">
        <v>45</v>
      </c>
      <c r="B1" s="18" t="s">
        <v>9</v>
      </c>
      <c r="C1" s="18" t="s">
        <v>46</v>
      </c>
      <c r="D1" s="18" t="s">
        <v>47</v>
      </c>
      <c r="E1" s="18" t="s">
        <v>48</v>
      </c>
      <c r="F1" s="18" t="s">
        <v>49</v>
      </c>
      <c r="G1" s="18" t="s">
        <v>50</v>
      </c>
      <c r="H1" s="18" t="s">
        <v>51</v>
      </c>
    </row>
    <row collapsed="false" customFormat="false" customHeight="false" hidden="false" ht="12.1" outlineLevel="0" r="2">
      <c r="A2" s="13" t="n">
        <v>45474.539583333</v>
      </c>
      <c r="B2" s="6" t="n">
        <v>400000</v>
      </c>
      <c r="C2" s="16" t="s">
        <v>52</v>
      </c>
      <c r="D2" s="16"/>
      <c r="E2" s="16"/>
      <c r="F2" s="7" t="n">
        <v>0</v>
      </c>
      <c r="G2" s="6" t="s">
        <f>=B2</f>
      </c>
      <c r="H2" s="6" t="n">
        <v>0</v>
      </c>
    </row>
    <row collapsed="false" customFormat="false" customHeight="false" hidden="false" ht="12.1" outlineLevel="0" r="3">
      <c r="A3" s="13" t="n">
        <v>45489</v>
      </c>
      <c r="B3" s="6" t="n">
        <v>-2734</v>
      </c>
      <c r="C3" s="16" t="s">
        <v>53</v>
      </c>
      <c r="D3" s="16"/>
      <c r="E3" s="16"/>
      <c r="F3" s="6" t="s">
        <f>=A3-A2</f>
      </c>
      <c r="G3" s="6" t="s">
        <f>=B3+G2</f>
      </c>
      <c r="H3" s="6" t="s">
        <f>=F3*G2</f>
      </c>
    </row>
    <row collapsed="false" customFormat="false" customHeight="false" hidden="false" ht="12.1" outlineLevel="0" r="4">
      <c r="A4" s="12" t="n">
        <v>46006.999988426</v>
      </c>
      <c r="B4" s="5" t="n">
        <v>-273990.8</v>
      </c>
      <c r="C4" s="14" t="s">
        <v>54</v>
      </c>
      <c r="D4" s="16"/>
      <c r="E4" s="16"/>
      <c r="F4" s="6" t="s">
        <f>=A4-A3</f>
      </c>
      <c r="G4" s="6" t="s">
        <f>=B4+G3</f>
      </c>
      <c r="H4" s="6" t="s">
        <f>=F4*G3</f>
      </c>
    </row>
    <row collapsed="false" customFormat="false" customHeight="false" hidden="false" ht="12.1" outlineLevel="0" r="5">
      <c r="A5" s="13"/>
      <c r="B5" s="9" t="s">
        <f>=XIRR(B2:B4,A2:A4)</f>
      </c>
      <c r="C5" s="16" t="s">
        <v>55</v>
      </c>
      <c r="D5" s="16"/>
      <c r="E5" s="16"/>
      <c r="F5" s="7"/>
      <c r="G5" s="2" t="s">
        <v>56</v>
      </c>
      <c r="H5" s="6" t="s">
        <f>=SUM(I2:H4)/365</f>
      </c>
    </row>
    <row collapsed="false" customFormat="false" customHeight="false" hidden="false" ht="12.1" outlineLevel="0" r="6">
      <c r="A6" s="13"/>
      <c r="B6" s="5" t="s">
        <f>=-SUM(B2:B4)</f>
      </c>
      <c r="C6" s="16" t="s">
        <v>57</v>
      </c>
      <c r="D6" s="16"/>
      <c r="E6" s="16"/>
      <c r="F6" s="7"/>
      <c r="G6" s="14" t="s">
        <v>58</v>
      </c>
      <c r="H6" s="9" t="s">
        <f>=B6/H5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16</v>
      </c>
      <c r="C1" s="0"/>
      <c r="D1" s="0"/>
      <c r="E1" s="4" t="s">
        <v>21</v>
      </c>
      <c r="F1" s="0"/>
      <c r="G1" s="0"/>
      <c r="H1" s="4" t="s">
        <v>24</v>
      </c>
      <c r="I1" s="0"/>
      <c r="J1" s="0"/>
      <c r="K1" s="4" t="s">
        <v>27</v>
      </c>
      <c r="L1" s="0"/>
    </row>
    <row collapsed="false" customFormat="false" customHeight="false" hidden="false" ht="12.1" outlineLevel="0" r="2">
      <c r="A2" s="11" t="n">
        <v>45474</v>
      </c>
      <c r="B2" s="6" t="n">
        <v>91211.8</v>
      </c>
      <c r="C2" s="0" t="s">
        <v>59</v>
      </c>
      <c r="D2" s="11" t="n">
        <v>45474</v>
      </c>
      <c r="E2" s="6" t="n">
        <v>104768</v>
      </c>
      <c r="F2" s="0" t="s">
        <v>59</v>
      </c>
      <c r="G2" s="11" t="n">
        <v>45474</v>
      </c>
      <c r="H2" s="6" t="n">
        <v>105769</v>
      </c>
      <c r="I2" s="0" t="s">
        <v>59</v>
      </c>
      <c r="J2" s="11" t="n">
        <v>45474</v>
      </c>
      <c r="K2" s="6" t="n">
        <v>97864</v>
      </c>
      <c r="L2" s="0" t="s">
        <v>59</v>
      </c>
    </row>
    <row collapsed="false" customFormat="false" customHeight="false" hidden="false" ht="12.1" outlineLevel="0" r="3">
      <c r="A3" s="11" t="n">
        <v>46006</v>
      </c>
      <c r="B3" s="8" t="s">
        <f>=-Портфель!J2</f>
      </c>
      <c r="C3" s="0" t="s">
        <v>60</v>
      </c>
      <c r="D3" s="11" t="n">
        <v>46006</v>
      </c>
      <c r="E3" s="8" t="s">
        <f>=-Портфель!J3</f>
      </c>
      <c r="F3" s="0" t="s">
        <v>60</v>
      </c>
      <c r="G3" s="11" t="n">
        <v>45489</v>
      </c>
      <c r="H3" s="6" t="n">
        <v>-2734</v>
      </c>
      <c r="I3" s="0" t="s">
        <v>53</v>
      </c>
      <c r="J3" s="11" t="n">
        <v>46006</v>
      </c>
      <c r="K3" s="8" t="s">
        <f>=-Портфель!J5</f>
      </c>
      <c r="L3" s="0" t="s">
        <v>60</v>
      </c>
    </row>
    <row collapsed="false" customFormat="false" customHeight="false" hidden="false" ht="12.1" outlineLevel="0" r="4">
      <c r="A4" s="0"/>
      <c r="B4" s="10" t="s">
        <f>=XIRR(B2:B3,A2:A3)</f>
      </c>
      <c r="C4" s="0"/>
      <c r="D4" s="0"/>
      <c r="E4" s="10" t="s">
        <f>=XIRR(E2:E3,D2:D3)</f>
      </c>
      <c r="F4" s="0"/>
      <c r="G4" s="11" t="n">
        <v>46006</v>
      </c>
      <c r="H4" s="8" t="s">
        <f>=-Портфель!J4</f>
      </c>
      <c r="I4" s="0" t="s">
        <v>60</v>
      </c>
      <c r="J4" s="0"/>
      <c r="K4" s="10" t="s">
        <f>=XIRR(K2:K3,J2:J3)</f>
      </c>
      <c r="L4" s="0"/>
    </row>
    <row collapsed="false" customFormat="false" customHeight="false" hidden="false" ht="12.1" outlineLevel="0" r="5">
      <c r="A5" s="0"/>
      <c r="B5" s="8" t="s">
        <f>=-SUM(B2:B3)</f>
      </c>
      <c r="C5" s="0" t="s">
        <v>61</v>
      </c>
      <c r="D5" s="0"/>
      <c r="E5" s="8" t="s">
        <f>=-SUM(E2:E3)</f>
      </c>
      <c r="F5" s="0" t="s">
        <v>61</v>
      </c>
      <c r="G5" s="0"/>
      <c r="H5" s="10" t="s">
        <f>=XIRR(H2:H4,G2:G4)</f>
      </c>
      <c r="I5" s="0"/>
      <c r="J5" s="0"/>
      <c r="K5" s="8" t="s">
        <f>=-SUM(K2:K3)</f>
      </c>
      <c r="L5" s="0" t="s">
        <v>61</v>
      </c>
    </row>
    <row collapsed="false" customFormat="false" customHeight="false" hidden="false" ht="12.1" outlineLevel="0" r="6">
      <c r="A6" s="0"/>
      <c r="B6" s="0"/>
      <c r="C6" s="0"/>
      <c r="D6" s="0"/>
      <c r="E6" s="0"/>
      <c r="F6" s="0"/>
      <c r="G6" s="0"/>
      <c r="H6" s="8" t="s">
        <f>=-SUM(H2:H4)</f>
      </c>
      <c r="I6" s="0" t="s">
        <v>61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3" t="s">
        <v>62</v>
      </c>
      <c r="C1" s="0"/>
      <c r="D1" s="0"/>
      <c r="E1" s="3" t="s">
        <v>63</v>
      </c>
      <c r="F1" s="0"/>
      <c r="G1" s="0"/>
      <c r="H1" s="3" t="s">
        <v>64</v>
      </c>
      <c r="I1" s="0"/>
      <c r="J1" s="0"/>
      <c r="K1" s="3" t="s">
        <v>65</v>
      </c>
      <c r="L1" s="0"/>
    </row>
    <row collapsed="false" customFormat="false" customHeight="false" hidden="false" ht="12.1" outlineLevel="0" r="2">
      <c r="A2" s="11" t="n">
        <v>45474</v>
      </c>
      <c r="B2" s="6" t="n">
        <v>780</v>
      </c>
      <c r="C2" s="6" t="n">
        <v>91211.8</v>
      </c>
      <c r="D2" s="11" t="n">
        <v>45474</v>
      </c>
      <c r="E2" s="6" t="n">
        <v>1000000</v>
      </c>
      <c r="F2" s="6" t="n">
        <v>104768</v>
      </c>
      <c r="G2" s="11" t="n">
        <v>45474</v>
      </c>
      <c r="H2" s="6" t="n">
        <v>700</v>
      </c>
      <c r="I2" s="6" t="n">
        <v>105769</v>
      </c>
      <c r="J2" s="11" t="n">
        <v>45474</v>
      </c>
      <c r="K2" s="6" t="n">
        <v>600</v>
      </c>
      <c r="L2" s="6" t="n">
        <v>97864</v>
      </c>
    </row>
    <row collapsed="false" customFormat="false" customHeight="false" hidden="false" ht="12.1" outlineLevel="0" r="3">
      <c r="A3" s="0"/>
      <c r="B3" s="5" t="s">
        <f>=SUM(C2:C2)/SUM(B2:B2)</f>
      </c>
      <c r="C3" s="0" t="s">
        <v>11</v>
      </c>
      <c r="D3" s="0"/>
      <c r="E3" s="5" t="s">
        <f>=SUM(F2:F2)/SUM(E2:E2)</f>
      </c>
      <c r="F3" s="0" t="s">
        <v>11</v>
      </c>
      <c r="G3" s="0"/>
      <c r="H3" s="5" t="s">
        <f>=SUM(I2:I2)/SUM(H2:H2)</f>
      </c>
      <c r="I3" s="0" t="s">
        <v>11</v>
      </c>
      <c r="J3" s="0"/>
      <c r="K3" s="5" t="s">
        <f>=SUM(L2:L2)/SUM(K2:K2)</f>
      </c>
      <c r="L3" s="0" t="s">
        <v>11</v>
      </c>
    </row>
    <row collapsed="false" customFormat="false" customHeight="false" hidden="false" ht="12.1" outlineLevel="0" r="4">
      <c r="A4" s="0"/>
      <c r="B4" s="6" t="n">
        <v>129.12</v>
      </c>
      <c r="C4" s="0" t="s">
        <v>66</v>
      </c>
      <c r="D4" s="0"/>
      <c r="E4" s="6" t="n">
        <v>0.0722</v>
      </c>
      <c r="F4" s="0" t="s">
        <v>66</v>
      </c>
      <c r="G4" s="0"/>
      <c r="H4" s="6" t="n">
        <v>84.1</v>
      </c>
      <c r="I4" s="0" t="s">
        <v>66</v>
      </c>
      <c r="J4" s="0"/>
      <c r="K4" s="6" t="n">
        <v>69.7</v>
      </c>
      <c r="L4" s="0" t="s">
        <v>66</v>
      </c>
    </row>
    <row collapsed="false" customFormat="false" customHeight="false" hidden="false" ht="12.1" outlineLevel="0" r="5">
      <c r="A5" s="0"/>
      <c r="B5" s="6" t="n">
        <v>780</v>
      </c>
      <c r="C5" s="0" t="s">
        <v>67</v>
      </c>
      <c r="D5" s="0"/>
      <c r="E5" s="6" t="n">
        <v>1000000</v>
      </c>
      <c r="F5" s="0" t="s">
        <v>67</v>
      </c>
      <c r="G5" s="0"/>
      <c r="H5" s="6" t="n">
        <v>700</v>
      </c>
      <c r="I5" s="0" t="s">
        <v>67</v>
      </c>
      <c r="J5" s="0"/>
      <c r="K5" s="6" t="n">
        <v>600</v>
      </c>
      <c r="L5" s="0" t="s">
        <v>67</v>
      </c>
    </row>
    <row collapsed="false" customFormat="false" customHeight="false" hidden="false" ht="12.1" outlineLevel="0" r="6">
      <c r="A6" s="0"/>
      <c r="B6" s="5" t="s">
        <f>=B5*(ABS(B4)-ABS(B3))</f>
      </c>
      <c r="C6" s="0" t="s">
        <v>68</v>
      </c>
      <c r="D6" s="0"/>
      <c r="E6" s="5" t="s">
        <f>=E5*(ABS(E4)-ABS(E3))</f>
      </c>
      <c r="F6" s="0" t="s">
        <v>68</v>
      </c>
      <c r="G6" s="0"/>
      <c r="H6" s="5" t="s">
        <f>=H5*(ABS(H4)-ABS(H3))</f>
      </c>
      <c r="I6" s="0" t="s">
        <v>68</v>
      </c>
      <c r="J6" s="0"/>
      <c r="K6" s="5" t="s">
        <f>=K5*(ABS(K4)-ABS(K3))</f>
      </c>
      <c r="L6" s="0" t="s">
        <v>68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3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0" customWidth="1"/>
    <col min="12" max="12" width="10" customWidth="1"/>
    <col min="13" max="13" width="15" customWidth="1"/>
    <col min="14" max="14" width="15" customWidth="1"/>
    <col min="15" max="15" width="15" customWidth="1"/>
    <col min="16" max="16" width="15" customWidth="1"/>
    <col min="17" max="17" width="15" customWidth="1"/>
    <col min="18" max="18" width="15" customWidth="1"/>
    <col min="19" max="19" width="15" customWidth="1"/>
  </cols>
  <sheetData>
    <row collapsed="false" customFormat="false" customHeight="false" hidden="false" ht="12.1" outlineLevel="0" r="1">
      <c r="A1" s="18" t="s">
        <v>45</v>
      </c>
      <c r="B1" s="18" t="s">
        <v>0</v>
      </c>
      <c r="C1" s="18" t="s">
        <v>2</v>
      </c>
      <c r="D1" s="18" t="s">
        <v>69</v>
      </c>
      <c r="E1" s="18" t="s">
        <v>1</v>
      </c>
      <c r="F1" s="18" t="s">
        <v>3</v>
      </c>
      <c r="G1" s="18" t="s">
        <v>4</v>
      </c>
      <c r="H1" s="18" t="s">
        <v>5</v>
      </c>
      <c r="I1" s="18" t="s">
        <v>9</v>
      </c>
      <c r="J1" s="18" t="s">
        <v>7</v>
      </c>
      <c r="K1" s="18" t="s">
        <v>70</v>
      </c>
      <c r="L1" s="18" t="s">
        <v>71</v>
      </c>
      <c r="M1" s="18" t="s">
        <v>19</v>
      </c>
      <c r="N1" s="18" t="s">
        <v>72</v>
      </c>
    </row>
    <row collapsed="false" customFormat="false" customHeight="false" hidden="false" ht="12.1" outlineLevel="0" r="2">
      <c r="A2" s="21" t="n">
        <v>45474.539583333</v>
      </c>
      <c r="B2" s="22" t="s">
        <v>73</v>
      </c>
      <c r="C2" s="22" t="s">
        <v>52</v>
      </c>
      <c r="D2" s="22" t="s">
        <v>73</v>
      </c>
      <c r="E2" s="22" t="s">
        <v>73</v>
      </c>
      <c r="F2" s="22" t="s">
        <v>19</v>
      </c>
      <c r="G2" s="23" t="n">
        <v>400000</v>
      </c>
      <c r="H2" s="24" t="n">
        <v>1</v>
      </c>
      <c r="I2" s="24" t="n">
        <v>400000</v>
      </c>
      <c r="J2" s="24" t="n">
        <v>0</v>
      </c>
      <c r="K2" s="24" t="n">
        <v>0</v>
      </c>
      <c r="L2" s="24" t="n">
        <v>0</v>
      </c>
      <c r="M2" s="6" t="s">
        <f>=I2+J2+K2+L2</f>
      </c>
      <c r="N2" s="22"/>
    </row>
    <row collapsed="false" customFormat="false" customHeight="false" hidden="false" ht="12.1" outlineLevel="0" r="3">
      <c r="A3" s="20" t="n">
        <v>45474.539583333</v>
      </c>
      <c r="B3" s="16" t="s">
        <v>21</v>
      </c>
      <c r="C3" s="16" t="s">
        <v>74</v>
      </c>
      <c r="D3" s="16" t="s">
        <v>59</v>
      </c>
      <c r="E3" s="16" t="s">
        <v>17</v>
      </c>
      <c r="F3" s="16" t="s">
        <v>19</v>
      </c>
      <c r="G3" s="7" t="n">
        <v>1000000</v>
      </c>
      <c r="H3" s="6" t="n">
        <v>0.1047</v>
      </c>
      <c r="I3" s="6" t="n">
        <v>-104700</v>
      </c>
      <c r="J3" s="6" t="n">
        <v>0</v>
      </c>
      <c r="K3" s="6" t="n">
        <v>-68</v>
      </c>
      <c r="L3" s="6" t="n">
        <v>0</v>
      </c>
      <c r="M3" s="6" t="s">
        <f>=I3+J3+K3+L3</f>
      </c>
      <c r="N3" s="16"/>
    </row>
    <row collapsed="false" customFormat="false" customHeight="false" hidden="false" ht="12.1" outlineLevel="0" r="4">
      <c r="A4" s="20" t="n">
        <v>45474.539583333</v>
      </c>
      <c r="B4" s="16" t="s">
        <v>27</v>
      </c>
      <c r="C4" s="16" t="s">
        <v>75</v>
      </c>
      <c r="D4" s="16" t="s">
        <v>59</v>
      </c>
      <c r="E4" s="16" t="s">
        <v>17</v>
      </c>
      <c r="F4" s="16" t="s">
        <v>19</v>
      </c>
      <c r="G4" s="7" t="n">
        <v>600</v>
      </c>
      <c r="H4" s="6" t="n">
        <v>163</v>
      </c>
      <c r="I4" s="6" t="n">
        <v>-97800</v>
      </c>
      <c r="J4" s="6" t="n">
        <v>0</v>
      </c>
      <c r="K4" s="6" t="n">
        <v>-64</v>
      </c>
      <c r="L4" s="6" t="n">
        <v>0</v>
      </c>
      <c r="M4" s="6" t="s">
        <f>=I4+J4+K4+L4</f>
      </c>
      <c r="N4" s="16"/>
    </row>
    <row collapsed="false" customFormat="false" customHeight="false" hidden="false" ht="12.1" outlineLevel="0" r="5">
      <c r="A5" s="20" t="n">
        <v>45474.539583333</v>
      </c>
      <c r="B5" s="16" t="s">
        <v>24</v>
      </c>
      <c r="C5" s="16" t="s">
        <v>76</v>
      </c>
      <c r="D5" s="16" t="s">
        <v>59</v>
      </c>
      <c r="E5" s="16" t="s">
        <v>17</v>
      </c>
      <c r="F5" s="16" t="s">
        <v>19</v>
      </c>
      <c r="G5" s="7" t="n">
        <v>700</v>
      </c>
      <c r="H5" s="6" t="n">
        <v>151</v>
      </c>
      <c r="I5" s="6" t="n">
        <v>-105700</v>
      </c>
      <c r="J5" s="6" t="n">
        <v>0</v>
      </c>
      <c r="K5" s="6" t="n">
        <v>-69</v>
      </c>
      <c r="L5" s="6" t="n">
        <v>0</v>
      </c>
      <c r="M5" s="6" t="s">
        <f>=I5+J5+K5+L5</f>
      </c>
      <c r="N5" s="16"/>
    </row>
    <row collapsed="false" customFormat="false" customHeight="false" hidden="false" ht="12.1" outlineLevel="0" r="6">
      <c r="A6" s="20" t="n">
        <v>45474.539583333</v>
      </c>
      <c r="B6" s="16" t="s">
        <v>16</v>
      </c>
      <c r="C6" s="16" t="s">
        <v>77</v>
      </c>
      <c r="D6" s="16" t="s">
        <v>59</v>
      </c>
      <c r="E6" s="16" t="s">
        <v>17</v>
      </c>
      <c r="F6" s="16" t="s">
        <v>19</v>
      </c>
      <c r="G6" s="7" t="n">
        <v>780</v>
      </c>
      <c r="H6" s="6" t="n">
        <v>116.86</v>
      </c>
      <c r="I6" s="6" t="n">
        <v>-91150.8</v>
      </c>
      <c r="J6" s="6" t="n">
        <v>0</v>
      </c>
      <c r="K6" s="6" t="n">
        <v>-61</v>
      </c>
      <c r="L6" s="6" t="n">
        <v>0</v>
      </c>
      <c r="M6" s="6" t="s">
        <f>=I6+J6+K6+L6</f>
      </c>
      <c r="N6" s="16"/>
    </row>
    <row collapsed="false" customFormat="false" customHeight="false" hidden="false" ht="12.1" outlineLevel="0" r="7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 t="s">
        <v>78</v>
      </c>
      <c r="M7" s="5" t="s">
        <f>=SUM(M2:M6)</f>
      </c>
      <c r="N7" s="4"/>
    </row>
  </sheetData>
  <autoFilter ref="A1:N7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</cols>
  <sheetData>
    <row collapsed="false" customFormat="false" customHeight="false" hidden="false" ht="12.1" outlineLevel="0" r="1">
      <c r="A1" s="26" t="s">
        <v>45</v>
      </c>
      <c r="B1" s="26" t="s">
        <v>79</v>
      </c>
      <c r="C1" s="26" t="s">
        <v>0</v>
      </c>
      <c r="D1" s="26" t="s">
        <v>2</v>
      </c>
      <c r="E1" s="26" t="s">
        <v>80</v>
      </c>
      <c r="F1" s="26" t="s">
        <v>3</v>
      </c>
      <c r="G1" s="26" t="s">
        <v>81</v>
      </c>
      <c r="H1" s="26" t="s">
        <v>82</v>
      </c>
      <c r="I1" s="26" t="s">
        <v>83</v>
      </c>
      <c r="J1" s="26" t="s">
        <v>84</v>
      </c>
      <c r="K1" s="26" t="s">
        <v>85</v>
      </c>
      <c r="L1" s="26" t="s">
        <v>86</v>
      </c>
      <c r="M1" s="26" t="s">
        <v>87</v>
      </c>
      <c r="N1" s="26" t="s">
        <v>88</v>
      </c>
    </row>
    <row collapsed="false" customFormat="false" customHeight="false" hidden="false" ht="12.1" outlineLevel="0" r="2">
      <c r="A2" s="25" t="n">
        <v>45489</v>
      </c>
      <c r="B2" s="16" t="s">
        <v>89</v>
      </c>
      <c r="C2" s="16" t="s">
        <v>24</v>
      </c>
      <c r="D2" s="16" t="s">
        <v>25</v>
      </c>
      <c r="E2" s="7" t="n">
        <v>700</v>
      </c>
      <c r="F2" s="16" t="s">
        <v>19</v>
      </c>
      <c r="G2" s="6" t="n">
        <v>4.49</v>
      </c>
      <c r="H2" s="6" t="n">
        <v>138.2</v>
      </c>
      <c r="I2" s="6" t="n">
        <v>151.1</v>
      </c>
      <c r="J2" s="6" t="n">
        <v>409</v>
      </c>
      <c r="K2" s="6" t="n">
        <v>3143</v>
      </c>
      <c r="L2" s="6" t="n">
        <v>2734</v>
      </c>
      <c r="M2" s="6" t="n">
        <v>2.58</v>
      </c>
      <c r="N2" s="6" t="n">
        <v>2.83</v>
      </c>
    </row>
  </sheetData>
  <autoFilter ref="A1:N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5" customWidth="1"/>
    <col min="7" max="7" width="5" customWidth="1"/>
    <col min="8" max="8" width="5" customWidth="1"/>
    <col min="9" max="9" width="10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  <col min="15" max="15" width="15" customWidth="1"/>
  </cols>
  <sheetData>
    <row collapsed="false" customFormat="false" customHeight="false" hidden="false" ht="12.1" outlineLevel="0" r="1">
      <c r="A1" s="26" t="s">
        <v>45</v>
      </c>
      <c r="B1" s="26" t="s">
        <v>79</v>
      </c>
      <c r="C1" s="26" t="s">
        <v>0</v>
      </c>
      <c r="D1" s="26" t="s">
        <v>2</v>
      </c>
      <c r="E1" s="26" t="s">
        <v>80</v>
      </c>
      <c r="F1" s="26" t="s">
        <v>90</v>
      </c>
      <c r="G1" s="26" t="s">
        <v>91</v>
      </c>
      <c r="H1" s="26" t="s">
        <v>49</v>
      </c>
      <c r="I1" s="26" t="s">
        <v>92</v>
      </c>
      <c r="J1" s="26" t="s">
        <v>93</v>
      </c>
      <c r="K1" s="26" t="s">
        <v>94</v>
      </c>
      <c r="L1" s="26" t="s">
        <v>95</v>
      </c>
      <c r="M1" s="26" t="s">
        <v>96</v>
      </c>
      <c r="N1" s="26" t="s">
        <v>97</v>
      </c>
      <c r="O1" s="26" t="s">
        <v>98</v>
      </c>
    </row>
    <row collapsed="false" customFormat="false" customHeight="false" hidden="false" ht="12.1" outlineLevel="0" r="2">
      <c r="A2" s="27" t="n">
        <v>45474</v>
      </c>
      <c r="B2" s="16" t="s">
        <v>89</v>
      </c>
      <c r="C2" s="16" t="s">
        <v>16</v>
      </c>
      <c r="D2" s="16" t="s">
        <v>18</v>
      </c>
      <c r="E2" s="17" t="n">
        <v>780</v>
      </c>
      <c r="F2" s="7" t="s">
        <f>=DATEDIF(A2,$O$2,"y")</f>
      </c>
      <c r="G2" s="7" t="s">
        <f>=DATEDIF(A2,$O$2,"ym")</f>
      </c>
      <c r="H2" s="7" t="s">
        <f>=DATEDIF(A2,$O$2,"md")</f>
      </c>
      <c r="I2" s="7" t="n">
        <v>533</v>
      </c>
      <c r="J2" s="17" t="n">
        <v>116.93820512821</v>
      </c>
      <c r="K2" s="6" t="s">
        <f>=Портфель!F2*Портфель!$Q$13</f>
      </c>
      <c r="L2" s="6" t="s">
        <f>=E2*K2</f>
      </c>
      <c r="M2" s="6" t="s">
        <f>=(K2-J2)*E2</f>
      </c>
      <c r="N2" s="6" t="s">
        <f>=MAX(0,M2*0.13)</f>
      </c>
      <c r="O2" s="13" t="s">
        <f>=TODAY()</f>
      </c>
    </row>
    <row collapsed="false" customFormat="false" customHeight="false" hidden="false" ht="12.1" outlineLevel="0" r="3">
      <c r="A3" s="27" t="n">
        <v>45474</v>
      </c>
      <c r="B3" s="16" t="s">
        <v>89</v>
      </c>
      <c r="C3" s="16" t="s">
        <v>21</v>
      </c>
      <c r="D3" s="16" t="s">
        <v>22</v>
      </c>
      <c r="E3" s="17" t="n">
        <v>1000000</v>
      </c>
      <c r="F3" s="7" t="s">
        <f>=DATEDIF(A3,$O$2,"y")</f>
      </c>
      <c r="G3" s="7" t="s">
        <f>=DATEDIF(A3,$O$2,"ym")</f>
      </c>
      <c r="H3" s="7" t="s">
        <f>=DATEDIF(A3,$O$2,"md")</f>
      </c>
      <c r="I3" s="7" t="n">
        <v>533</v>
      </c>
      <c r="J3" s="17" t="n">
        <v>0.104768</v>
      </c>
      <c r="K3" s="6" t="s">
        <f>=Портфель!F3*Портфель!$Q$13</f>
      </c>
      <c r="L3" s="6" t="s">
        <f>=E3*K3</f>
      </c>
      <c r="M3" s="6" t="s">
        <f>=(K3-J3)*E3</f>
      </c>
      <c r="N3" s="6" t="s">
        <f>=MAX(0,M3*0.13)</f>
      </c>
    </row>
    <row collapsed="false" customFormat="false" customHeight="false" hidden="false" ht="12.1" outlineLevel="0" r="4">
      <c r="A4" s="27" t="n">
        <v>45474</v>
      </c>
      <c r="B4" s="16" t="s">
        <v>89</v>
      </c>
      <c r="C4" s="16" t="s">
        <v>24</v>
      </c>
      <c r="D4" s="16" t="s">
        <v>25</v>
      </c>
      <c r="E4" s="17" t="n">
        <v>700</v>
      </c>
      <c r="F4" s="7" t="s">
        <f>=DATEDIF(A4,$O$2,"y")</f>
      </c>
      <c r="G4" s="7" t="s">
        <f>=DATEDIF(A4,$O$2,"ym")</f>
      </c>
      <c r="H4" s="7" t="s">
        <f>=DATEDIF(A4,$O$2,"md")</f>
      </c>
      <c r="I4" s="7" t="n">
        <v>533</v>
      </c>
      <c r="J4" s="17" t="n">
        <v>151.09857142857</v>
      </c>
      <c r="K4" s="6" t="s">
        <f>=Портфель!F4*Портфель!$Q$13</f>
      </c>
      <c r="L4" s="6" t="s">
        <f>=E4*K4</f>
      </c>
      <c r="M4" s="6" t="s">
        <f>=(K4-J4)*E4</f>
      </c>
      <c r="N4" s="6" t="s">
        <f>=MAX(0,M4*0.13)</f>
      </c>
    </row>
    <row collapsed="false" customFormat="false" customHeight="false" hidden="false" ht="12.1" outlineLevel="0" r="5">
      <c r="A5" s="27" t="n">
        <v>45474</v>
      </c>
      <c r="B5" s="16" t="s">
        <v>89</v>
      </c>
      <c r="C5" s="16" t="s">
        <v>27</v>
      </c>
      <c r="D5" s="16" t="s">
        <v>28</v>
      </c>
      <c r="E5" s="17" t="n">
        <v>600</v>
      </c>
      <c r="F5" s="7" t="s">
        <f>=DATEDIF(A5,$O$2,"y")</f>
      </c>
      <c r="G5" s="7" t="s">
        <f>=DATEDIF(A5,$O$2,"ym")</f>
      </c>
      <c r="H5" s="7" t="s">
        <f>=DATEDIF(A5,$O$2,"md")</f>
      </c>
      <c r="I5" s="7" t="n">
        <v>533</v>
      </c>
      <c r="J5" s="17" t="n">
        <v>163.10666666667</v>
      </c>
      <c r="K5" s="6" t="s">
        <f>=Портфель!F5*Портфель!$Q$13</f>
      </c>
      <c r="L5" s="6" t="s">
        <f>=E5*K5</f>
      </c>
      <c r="M5" s="6" t="s">
        <f>=(K5-J5)*E5</f>
      </c>
      <c r="N5" s="6" t="s">
        <f>=MAX(0,M5*0.13)</f>
      </c>
    </row>
    <row collapsed="false" customFormat="false" customHeight="false" hidden="false" ht="12.1" outlineLevel="0" r="6">
      <c r="A6" s="27"/>
      <c r="B6" s="16"/>
      <c r="C6" s="16"/>
      <c r="D6" s="16"/>
      <c r="E6" s="17"/>
      <c r="F6" s="7"/>
      <c r="G6" s="17"/>
      <c r="H6" s="16"/>
      <c r="I6" s="7"/>
      <c r="J6" s="17"/>
      <c r="K6" s="4" t="s">
        <v>36</v>
      </c>
      <c r="L6" s="8" t="s">
        <f>=SUBTOTAL(109,L2:L5)</f>
      </c>
      <c r="M6" s="8" t="s">
        <f>=SUBTOTAL(109,M2:M5)</f>
      </c>
      <c r="N6" s="8" t="s">
        <f>=MAX(0,M6*0.13)</f>
      </c>
    </row>
  </sheetData>
  <autoFilter ref="A1:O4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25" customWidth="1"/>
    <col min="3" max="3" width="1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5" customWidth="1"/>
  </cols>
  <sheetData>
    <row collapsed="false" customFormat="false" customHeight="false" hidden="false" ht="12.1" outlineLevel="0" r="1">
      <c r="A1" s="26" t="s">
        <v>0</v>
      </c>
      <c r="B1" s="26" t="s">
        <v>2</v>
      </c>
      <c r="C1" s="26" t="s">
        <v>99</v>
      </c>
      <c r="D1" s="26" t="s">
        <v>100</v>
      </c>
      <c r="E1" s="26" t="s">
        <v>83</v>
      </c>
      <c r="F1" s="26" t="s">
        <v>101</v>
      </c>
      <c r="G1" s="26" t="s">
        <v>80</v>
      </c>
      <c r="H1" s="26" t="s">
        <v>102</v>
      </c>
      <c r="I1" s="26" t="s">
        <v>103</v>
      </c>
      <c r="J1" s="26" t="s">
        <v>104</v>
      </c>
      <c r="K1" s="26" t="s">
        <v>105</v>
      </c>
    </row>
    <row collapsed="false" customFormat="false" customHeight="false" hidden="false" ht="12.1" outlineLevel="0" r="2">
      <c r="A2" s="16"/>
    </row>
  </sheetData>
  <autoFilter ref="A1:K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2025-12-16T04:32:42.00Z</dcterms:created>
  <dc:creator>izi-invest.ru</dc:creator>
  <cp:revision>0</cp:revision>
</cp:coreProperties>
</file>