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<sst xmlns="http://schemas.openxmlformats.org/spreadsheetml/2006/main" count="4532" uniqueCount="431">
  <si>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</si>
  <si>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</si>
  <si>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</si>
  <si>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</si>
  <si>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</si>
  <si>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</si>
  <si>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</si>
  <si>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</si>
  <si>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</si>
  <si>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</si>
  <si>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</si>
  <si>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</si>
  <si>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</si>
  <si>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</si>
  <si>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</si>
  <si>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</si>
  <si>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</si>
  <si>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</si>
  <si>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</si>
  <si>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</si>
  <si>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</si>
  <si>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</si>
  <si>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</si>
  <si>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</si>
  <si>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</si>
  <si>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</si>
  <si>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</si>
  <si>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</si>
  <si>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</si>
  <si>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</si>
  <si>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</si>
  <si>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</si>
  <si>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</si>
  <si>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</si>
  <si>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</si>
  <si>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</si>
  <si>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</si>
  <si>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</si>
  <si>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</si>
  <si>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</si>
  <si>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</si>
  <si>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</si>
  <si>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</si>
  <si>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</si>
  <si>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</si>
  <si>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</si>
  <si>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RU000A101RJ7</t>
  </si>
  <si>
    <t>МБЭС 1P-02</t>
  </si>
  <si>
    <t>2030-06-03</t>
  </si>
  <si>
    <t>JPY</t>
  </si>
  <si>
    <t>RU000A104JQ3</t>
  </si>
  <si>
    <t>СамолетP11</t>
  </si>
  <si>
    <t>2028-02-08</t>
  </si>
  <si>
    <t>KZT</t>
  </si>
  <si>
    <t>RU000A0JXE06</t>
  </si>
  <si>
    <t>ГТЛК 1P-03</t>
  </si>
  <si>
    <t>2032-01-22</t>
  </si>
  <si>
    <t>RU000A106PW3</t>
  </si>
  <si>
    <t>НовТехнБ2</t>
  </si>
  <si>
    <t>2028-08-08</t>
  </si>
  <si>
    <t>SLV</t>
  </si>
  <si>
    <t>RU000A106AH6</t>
  </si>
  <si>
    <t>О'КЕЙ Б1Р5</t>
  </si>
  <si>
    <t>2033-05-16</t>
  </si>
  <si>
    <t>TRY</t>
  </si>
  <si>
    <t>RU000A1032P1</t>
  </si>
  <si>
    <t>ВТБРКС01</t>
  </si>
  <si>
    <t>2030-12-01</t>
  </si>
  <si>
    <t>UAH</t>
  </si>
  <si>
    <t>RU000A103133</t>
  </si>
  <si>
    <t>Новотр 1Р2</t>
  </si>
  <si>
    <t>2026-04-16</t>
  </si>
  <si>
    <t>USD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</si>
  <si>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</si>
  <si>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</si>
  <si>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</si>
  <si>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</si>
  <si>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</si>
  <si>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</si>
  <si>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</si>
  <si>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</si>
  <si>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</si>
  <si>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</si>
  <si>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</si>
  <si>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</si>
  <si>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</si>
  <si>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</si>
  <si>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</si>
  <si>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</si>
  <si>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</si>
  <si>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</si>
  <si>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</si>
  <si>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</si>
  <si>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</si>
  <si>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</si>
  <si>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</si>
  <si>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</si>
  <si>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</si>
  <si>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</si>
  <si>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</si>
  <si>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</si>
  <si>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</si>
  <si>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</si>
  <si>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</si>
  <si>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</si>
  <si>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</si>
  <si>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</si>
  <si>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</si>
  <si>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</si>
  <si>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</si>
  <si>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</si>
  <si>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</si>
  <si>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</si>
  <si>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</si>
  <si>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</si>
  <si>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</si>
  <si>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</si>
  <si>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</si>
  <si>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</si>
  <si>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</si>
  <si>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</si>
  <si>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</si>
  <si>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</si>
  <si>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</si>
  <si>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</si>
  <si>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</si>
  <si>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</si>
  <si>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</si>
  <si>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</si>
  <si>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</si>
  <si>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</si>
  <si>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</si>
  <si>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</si>
  <si>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</si>
  <si>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</si>
  <si>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</si>
  <si>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</si>
  <si>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</si>
  <si>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</si>
  <si>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</si>
  <si>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</si>
  <si>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</si>
  <si>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</si>
  <si>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</si>
  <si>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</si>
  <si>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</si>
  <si>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</si>
  <si>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</si>
  <si>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</si>
  <si>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</si>
  <si>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</si>
  <si>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</si>
  <si>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</si>
  <si>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</si>
  <si>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</si>
  <si>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</si>
  <si>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</si>
  <si>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</si>
  <si>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</si>
  <si>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</si>
  <si>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</si>
  <si>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</si>
  <si>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</si>
  <si>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</si>
  <si>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</si>
  <si>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</si>
  <si>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</si>
  <si>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</si>
  <si>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</si>
  <si>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</si>
  <si>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</si>
  <si>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</si>
  <si>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</si>
  <si>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</si>
  <si>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</si>
  <si>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</si>
  <si>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</si>
  <si>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</si>
  <si>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</si>
  <si>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</si>
  <si>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</si>
  <si>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</si>
  <si>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</si>
  <si>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</si>
  <si>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</si>
  <si>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</si>
  <si>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</si>
  <si>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</si>
  <si>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</si>
  <si>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</si>
  <si>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</si>
  <si>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</si>
  <si>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</si>
  <si>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</si>
  <si>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</si>
  <si>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</si>
  <si>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</si>
  <si>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</si>
  <si>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</si>
  <si>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</si>
  <si>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</si>
  <si>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</si>
  <si>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</si>
  <si>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</si>
  <si>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</si>
  <si>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</si>
  <si>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</si>
  <si>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</si>
  <si>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</si>
  <si>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</si>
  <si>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</si>
  <si>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</si>
  <si>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</si>
  <si>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RU000A0JXE06 - ГТЛК 1P-03 1шт. по 57.84 RUR - налог 8 RUR (данные из БД)</t>
  </si>
  <si>
    <t>Купон по RU000A1032P1 - ВТБРКС01 2шт. по 3.49 RUR - налог 1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</si>
  <si>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</si>
  <si>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</si>
  <si>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</si>
  <si>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</si>
  <si>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</si>
  <si>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</si>
  <si>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</si>
  <si>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</si>
  <si>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</si>
  <si>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</si>
  <si>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</si>
  <si>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</si>
  <si>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</si>
  <si>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</si>
  <si>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</si>
  <si>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</si>
  <si>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</si>
  <si>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</si>
  <si>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</si>
  <si>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</si>
  <si>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</si>
  <si>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Купон по SU29010RMFS4 - ОФЗ 29010 2шт. по 112.24 RUR - налог 29 RUR (данные из БД)</t>
  </si>
  <si>
    <t>Амортизация ВТБРКС01: 2 шт. по 28.68 RUR.  (данные из БД)</t>
  </si>
  <si>
    <t>Купон по RU000A1032P1 - ВТБРКС01 2шт. по 1.85 RUR - налог 0 RUR (данные из БД)</t>
  </si>
  <si>
    <t>Купон по RU000A103133 - Новотр 1Р2 2шт. по 5.7 RUR - налог 1 RUR (данные из БД)</t>
  </si>
  <si>
    <t>Купон по RU000A0JXE06 - ГТЛК 1P-03 1шт. по 47.87 RUR - налог 6 RUR (данные из БД)</t>
  </si>
  <si>
    <t>Амортизация ВТБРКС01: 2 шт. по 31.83 RUR.  (данные из БД)</t>
  </si>
  <si>
    <t>Купон по RU000A1032P1 - ВТБРКС01 2шт. по 1.65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</si>
  <si>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</si>
  <si>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</si>
  <si>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</si>
  <si>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</si>
  <si>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</si>
  <si>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</si>
  <si>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</si>
  <si>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</si>
  <si>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</si>
  <si>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</si>
  <si>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</si>
  <si>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</si>
  <si>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</si>
  <si>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</si>
  <si>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</si>
  <si>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</si>
  <si>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</si>
  <si>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</si>
  <si>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</si>
  <si>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</si>
  <si>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</si>
  <si>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</si>
  <si>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</si>
  <si>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</si>
  <si>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</si>
  <si>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</si>
  <si>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</si>
  <si>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</si>
  <si>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</si>
  <si>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</si>
  <si>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</si>
  <si>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</si>
  <si>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RU000A101RJ7
МБЭС 1P-02</t>
  </si>
  <si>
    <t>RU000A104JQ3
СамолетP11</t>
  </si>
  <si>
    <t>RU000A0JXE06
ГТЛК 1P-03</t>
  </si>
  <si>
    <t>RU000A106PW3
НовТехнБ2</t>
  </si>
  <si>
    <t>RU000A106AH6
О'КЕЙ Б1Р5</t>
  </si>
  <si>
    <t>RU000A1032P1
ВТБРКС01</t>
  </si>
  <si>
    <t>RU000A103133
Новотр 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</si>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</sst>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0.5692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-0.4043</v>
      </c>
      <c r="L2" s="6" t="n">
        <v>0.95</v>
      </c>
      <c r="M2" s="17" t="n">
        <v>0.07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=J3/J21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7347</v>
      </c>
      <c r="F4" s="6" t="n">
        <v>9.82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-0.0358</v>
      </c>
      <c r="L4" s="6" t="n">
        <v>9.99</v>
      </c>
      <c r="M4" s="17" t="n">
        <v>52.76</v>
      </c>
      <c r="N4" s="16"/>
      <c r="O4" s="16" t="s">
        <v>26</v>
      </c>
      <c r="P4" s="17" t="n">
        <v>56.056018112767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328</v>
      </c>
      <c r="F5" s="6" t="n">
        <v>152.84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0.0477</v>
      </c>
      <c r="L5" s="6" t="n">
        <v>148.07</v>
      </c>
      <c r="M5" s="17" t="n">
        <v>36.66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7.93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0.2042</v>
      </c>
      <c r="L6" s="6" t="n">
        <v>5.66</v>
      </c>
      <c r="M6" s="17" t="n">
        <v>4.77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15.66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0.5878</v>
      </c>
      <c r="L7" s="6" t="n">
        <v>10.59</v>
      </c>
      <c r="M7" s="17" t="n">
        <v>1.68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13.84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0.2751</v>
      </c>
      <c r="L8" s="6" t="n">
        <v>10.64</v>
      </c>
      <c r="M8" s="17" t="n">
        <v>0.36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0" t="s">
        <f>=J9/J21</f>
      </c>
      <c r="N9" s="16"/>
      <c r="O9" s="16" t="s">
        <v>40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105.939</v>
      </c>
      <c r="G10" s="17" t="n">
        <v>1000</v>
      </c>
      <c r="H10" s="6" t="n">
        <v>36.71</v>
      </c>
      <c r="I10" s="16" t="s">
        <v>44</v>
      </c>
      <c r="J10" s="6" t="s">
        <f>=E10*((F10/100*G10)*Портфель!$Q$13 + H10*Портфель!$Q$13) </f>
      </c>
      <c r="K10" s="9" t="n">
        <v>0.1119</v>
      </c>
      <c r="L10" s="6" t="n">
        <v>1109.62</v>
      </c>
      <c r="M10" s="17" t="n">
        <v>1.6</v>
      </c>
      <c r="N10" s="16"/>
      <c r="O10" s="16" t="s">
        <v>45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101.42</v>
      </c>
      <c r="G11" s="17" t="n">
        <v>1000</v>
      </c>
      <c r="H11" s="6" t="n">
        <v>35.5</v>
      </c>
      <c r="I11" s="16" t="s">
        <v>48</v>
      </c>
      <c r="J11" s="6" t="s">
        <f>=E11*((F11/100*G11)*Портфель!$Q$13 + H11*Портфель!$Q$13) </f>
      </c>
      <c r="K11" s="9" t="n">
        <v>0.1339</v>
      </c>
      <c r="L11" s="6" t="n">
        <v>937.04</v>
      </c>
      <c r="M11" s="17" t="n">
        <v>1.54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99.76</v>
      </c>
      <c r="G12" s="17" t="n">
        <v>1000</v>
      </c>
      <c r="H12" s="6" t="n">
        <v>10.68</v>
      </c>
      <c r="I12" s="16" t="s">
        <v>52</v>
      </c>
      <c r="J12" s="6" t="s">
        <f>=E12*((F12/100*G12)*Портфель!$Q$13 + H12*Портфель!$Q$13) </f>
      </c>
      <c r="K12" s="9" t="n">
        <v>0.1424</v>
      </c>
      <c r="L12" s="6" t="n">
        <v>1041.83</v>
      </c>
      <c r="M12" s="17" t="n">
        <v>1.47</v>
      </c>
      <c r="N12" s="16"/>
      <c r="O12" s="16" t="s">
        <v>53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96.78</v>
      </c>
      <c r="G13" s="17" t="n">
        <v>1000</v>
      </c>
      <c r="H13" s="6" t="n">
        <v>13.46</v>
      </c>
      <c r="I13" s="16" t="s">
        <v>56</v>
      </c>
      <c r="J13" s="6" t="s">
        <f>=E13*((F13/100*G13)*Портфель!$Q$13 + H13*Портфель!$Q$13) </f>
      </c>
      <c r="K13" s="9" t="n">
        <v>0.1371</v>
      </c>
      <c r="L13" s="6" t="n">
        <v>1030.61</v>
      </c>
      <c r="M13" s="17" t="n">
        <v>0.72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96.95</v>
      </c>
      <c r="G14" s="17" t="n">
        <v>1000</v>
      </c>
      <c r="H14" s="6" t="n">
        <v>5.2</v>
      </c>
      <c r="I14" s="16" t="s">
        <v>59</v>
      </c>
      <c r="J14" s="6" t="s">
        <f>=E14*((F14/100*G14)*Портфель!$Q$13 + H14*Портфель!$Q$13) </f>
      </c>
      <c r="K14" s="9" t="n">
        <v>0.1417</v>
      </c>
      <c r="L14" s="6" t="n">
        <v>933.96</v>
      </c>
      <c r="M14" s="17" t="n">
        <v>0.71</v>
      </c>
      <c r="N14" s="16"/>
      <c r="O14" s="16" t="s">
        <v>60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1</v>
      </c>
      <c r="F15" s="6" t="n">
        <v>97.67</v>
      </c>
      <c r="G15" s="17" t="n">
        <v>1000</v>
      </c>
      <c r="H15" s="6" t="n">
        <v>0.64</v>
      </c>
      <c r="I15" s="16" t="s">
        <v>63</v>
      </c>
      <c r="J15" s="6" t="s">
        <f>=E15*((F15/100*G15)*Портфель!$Q$13 + H15*Портфель!$Q$13) </f>
      </c>
      <c r="K15" s="9" t="n">
        <v>0.1341</v>
      </c>
      <c r="L15" s="6" t="n">
        <v>959.37</v>
      </c>
      <c r="M15" s="17" t="n">
        <v>0.71</v>
      </c>
      <c r="N15" s="16"/>
      <c r="O15" s="16" t="s">
        <v>64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65</v>
      </c>
      <c r="B16" s="16" t="s">
        <v>42</v>
      </c>
      <c r="C16" s="16" t="s">
        <v>66</v>
      </c>
      <c r="D16" s="16" t="s">
        <v>19</v>
      </c>
      <c r="E16" s="7" t="n">
        <v>2</v>
      </c>
      <c r="F16" s="6" t="n">
        <v>96.89</v>
      </c>
      <c r="G16" s="17" t="n">
        <v>211.35</v>
      </c>
      <c r="H16" s="6" t="n">
        <v>1.11</v>
      </c>
      <c r="I16" s="16" t="s">
        <v>67</v>
      </c>
      <c r="J16" s="6" t="s">
        <f>=E16*((F16/100*G16)*Портфель!$Q$13 + H16*Портфель!$Q$13) </f>
      </c>
      <c r="K16" s="9" t="n">
        <v>0.169</v>
      </c>
      <c r="L16" s="6" t="n">
        <v>900.96</v>
      </c>
      <c r="M16" s="17" t="n">
        <v>0.3</v>
      </c>
      <c r="N16" s="16"/>
      <c r="O16" s="16" t="s">
        <v>68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69</v>
      </c>
      <c r="B17" s="16" t="s">
        <v>42</v>
      </c>
      <c r="C17" s="16" t="s">
        <v>70</v>
      </c>
      <c r="D17" s="16" t="s">
        <v>19</v>
      </c>
      <c r="E17" s="7" t="n">
        <v>2</v>
      </c>
      <c r="F17" s="6" t="n">
        <v>99.12</v>
      </c>
      <c r="G17" s="17" t="n">
        <v>125</v>
      </c>
      <c r="H17" s="6" t="n">
        <v>1.28</v>
      </c>
      <c r="I17" s="16" t="s">
        <v>71</v>
      </c>
      <c r="J17" s="6" t="s">
        <f>=E17*((F17/100*G17)*Портфель!$Q$13 + H17*Портфель!$Q$13) </f>
      </c>
      <c r="K17" s="9" t="n">
        <v>0.1021</v>
      </c>
      <c r="L17" s="6" t="n">
        <v>965.83</v>
      </c>
      <c r="M17" s="17" t="n">
        <v>0.18</v>
      </c>
      <c r="N17" s="16"/>
      <c r="O17" s="16" t="s">
        <v>72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73</v>
      </c>
      <c r="I18" s="4"/>
      <c r="J18" s="5" t="s">
        <f>=SUM(J10:J17)</f>
      </c>
      <c r="K18" s="4"/>
      <c r="L18" s="4"/>
      <c r="M18" s="10" t="s">
        <f>=J18/J21</f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19</v>
      </c>
      <c r="B19" s="16" t="s">
        <v>3</v>
      </c>
      <c r="C19" s="16" t="s">
        <v>74</v>
      </c>
      <c r="D19" s="16" t="s">
        <v>19</v>
      </c>
      <c r="E19" s="7" t="n">
        <v>-4840.18</v>
      </c>
      <c r="F19" s="6" t="n">
        <v>1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75</v>
      </c>
      <c r="I20" s="4"/>
      <c r="J20" s="5" t="s">
        <f>=SUM(J19:J19)</f>
      </c>
      <c r="K20" s="4"/>
      <c r="L20" s="4"/>
      <c r="M20" s="10" t="s">
        <f>=J20/J21</f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76</v>
      </c>
      <c r="I21" s="4"/>
      <c r="J21" s="5" t="s">
        <f>=J3+J9+J18+J20</f>
      </c>
      <c r="K21" s="17"/>
      <c r="L21" s="6"/>
      <c r="M21" s="17"/>
      <c r="N21" s="16"/>
      <c r="O21" s="16"/>
      <c r="P21" s="17"/>
      <c r="Q21" s="17"/>
    </row>
  </sheetData>
  <mergeCells>
    <mergeCell ref="H3:I3"/>
    <mergeCell ref="H9:I9"/>
    <mergeCell ref="H18:I18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420</v>
      </c>
      <c r="D1" s="38" t="s">
        <v>421</v>
      </c>
      <c r="E1" s="38" t="s">
        <v>391</v>
      </c>
      <c r="F1" s="38" t="s">
        <v>422</v>
      </c>
      <c r="G1" s="38" t="s">
        <v>388</v>
      </c>
      <c r="H1" s="38" t="s">
        <v>423</v>
      </c>
      <c r="I1" s="38" t="s">
        <v>424</v>
      </c>
      <c r="J1" s="38" t="s">
        <v>425</v>
      </c>
      <c r="K1" s="38" t="s">
        <v>426</v>
      </c>
    </row>
    <row collapsed="false" customFormat="false" customHeight="false" hidden="false" ht="12.1" outlineLevel="0" r="2">
      <c r="A2" s="16" t="s">
        <v>252</v>
      </c>
      <c r="B2" s="16" t="s">
        <v>427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253</v>
      </c>
      <c r="B3" s="16" t="s">
        <v>428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253</v>
      </c>
      <c r="B4" s="16" t="s">
        <v>428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253</v>
      </c>
      <c r="B5" s="16" t="s">
        <v>428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253</v>
      </c>
      <c r="B6" s="16" t="s">
        <v>428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253</v>
      </c>
      <c r="B7" s="16" t="s">
        <v>428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253</v>
      </c>
      <c r="B8" s="16" t="s">
        <v>428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253</v>
      </c>
      <c r="B9" s="16" t="s">
        <v>428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254</v>
      </c>
      <c r="B10" s="16" t="s">
        <v>429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254</v>
      </c>
      <c r="B11" s="16" t="s">
        <v>429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254</v>
      </c>
      <c r="B12" s="16" t="s">
        <v>429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254</v>
      </c>
      <c r="B13" s="16" t="s">
        <v>429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255</v>
      </c>
      <c r="B14" s="16" t="s">
        <v>403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255</v>
      </c>
      <c r="B15" s="16" t="s">
        <v>403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256</v>
      </c>
      <c r="B16" s="16" t="s">
        <v>404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257</v>
      </c>
      <c r="B17" s="16" t="s">
        <v>400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258</v>
      </c>
      <c r="B18" s="16" t="s">
        <v>401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259</v>
      </c>
      <c r="B19" s="16" t="s">
        <v>406</v>
      </c>
      <c r="C19" s="41" t="n">
        <v>44734</v>
      </c>
      <c r="D19" s="42" t="n">
        <v>45628</v>
      </c>
      <c r="E19" s="17" t="n">
        <v>978.54</v>
      </c>
      <c r="F19" s="17" t="n">
        <v>500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260</v>
      </c>
      <c r="B20" s="16" t="s">
        <v>405</v>
      </c>
      <c r="C20" s="41" t="n">
        <v>44743</v>
      </c>
      <c r="D20" s="42" t="n">
        <v>45455</v>
      </c>
      <c r="E20" s="17" t="n">
        <v>836.98</v>
      </c>
      <c r="F20" s="17" t="n">
        <v>1000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261</v>
      </c>
      <c r="B21" s="16" t="s">
        <v>402</v>
      </c>
      <c r="C21" s="41" t="n">
        <v>44743</v>
      </c>
      <c r="D21" s="42" t="n">
        <v>45336</v>
      </c>
      <c r="E21" s="17" t="n">
        <v>978.1933</v>
      </c>
      <c r="F21" s="17" t="n">
        <v>1000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262</v>
      </c>
      <c r="B22" s="16" t="s">
        <v>430</v>
      </c>
      <c r="C22" s="41" t="n">
        <v>44743</v>
      </c>
      <c r="D22" s="42" t="n">
        <v>44803</v>
      </c>
      <c r="E22" s="17" t="n">
        <v>3.982</v>
      </c>
      <c r="F22" s="17" t="n">
        <v>4.1539</v>
      </c>
      <c r="G22" s="17" t="n">
        <v>71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262</v>
      </c>
      <c r="B23" s="16" t="s">
        <v>430</v>
      </c>
      <c r="C23" s="41" t="n">
        <v>44974</v>
      </c>
      <c r="D23" s="42" t="n">
        <v>45005</v>
      </c>
      <c r="E23" s="17" t="n">
        <v>4.1578</v>
      </c>
      <c r="F23" s="17" t="n">
        <v>4.5</v>
      </c>
      <c r="G23" s="17" t="n">
        <v>23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262</v>
      </c>
      <c r="B24" s="16" t="s">
        <v>430</v>
      </c>
      <c r="C24" s="41" t="n">
        <v>44974</v>
      </c>
      <c r="D24" s="42" t="n">
        <v>45005</v>
      </c>
      <c r="E24" s="17" t="n">
        <v>4.1862</v>
      </c>
      <c r="F24" s="17" t="n">
        <v>4.5</v>
      </c>
      <c r="G24" s="17" t="n">
        <v>26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262</v>
      </c>
      <c r="B25" s="16" t="s">
        <v>430</v>
      </c>
      <c r="C25" s="41" t="n">
        <v>45229</v>
      </c>
      <c r="D25" s="42" t="n">
        <v>45275</v>
      </c>
      <c r="E25" s="17" t="n">
        <v>6.44</v>
      </c>
      <c r="F25" s="17" t="n">
        <v>5.95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262</v>
      </c>
      <c r="B26" s="16" t="s">
        <v>430</v>
      </c>
      <c r="C26" s="41" t="n">
        <v>45275</v>
      </c>
      <c r="D26" s="42" t="n">
        <v>45275</v>
      </c>
      <c r="E26" s="17" t="n">
        <v>5.92</v>
      </c>
      <c r="F26" s="17" t="n">
        <v>5.95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30</v>
      </c>
      <c r="B27" s="16" t="s">
        <v>31</v>
      </c>
      <c r="C27" s="41" t="n">
        <v>44749</v>
      </c>
      <c r="D27" s="42" t="n">
        <v>44861</v>
      </c>
      <c r="E27" s="17" t="n">
        <v>4.8541</v>
      </c>
      <c r="F27" s="17" t="n">
        <v>5.05</v>
      </c>
      <c r="G27" s="17" t="n">
        <v>69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44760</v>
      </c>
      <c r="D28" s="42" t="n">
        <v>44861</v>
      </c>
      <c r="E28" s="17" t="n">
        <v>4.879</v>
      </c>
      <c r="F28" s="17" t="n">
        <v>5.05</v>
      </c>
      <c r="G28" s="17" t="n">
        <v>118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44767</v>
      </c>
      <c r="D29" s="42" t="n">
        <v>44861</v>
      </c>
      <c r="E29" s="17" t="n">
        <v>4.9327</v>
      </c>
      <c r="F29" s="17" t="n">
        <v>5.05</v>
      </c>
      <c r="G29" s="17" t="n">
        <v>11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44791</v>
      </c>
      <c r="D30" s="42" t="n">
        <v>44861</v>
      </c>
      <c r="E30" s="17" t="n">
        <v>4.995</v>
      </c>
      <c r="F30" s="17" t="n">
        <v>5.05</v>
      </c>
      <c r="G30" s="17" t="n">
        <v>22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4.994</v>
      </c>
      <c r="F31" s="17" t="n">
        <v>5.05</v>
      </c>
      <c r="G31" s="17" t="n">
        <v>43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44799</v>
      </c>
      <c r="D32" s="42" t="n">
        <v>44861</v>
      </c>
      <c r="E32" s="17" t="n">
        <v>4.9992</v>
      </c>
      <c r="F32" s="17" t="n">
        <v>5.05</v>
      </c>
      <c r="G32" s="17" t="n">
        <v>24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44803</v>
      </c>
      <c r="D33" s="42" t="n">
        <v>44861</v>
      </c>
      <c r="E33" s="17" t="n">
        <v>5.004</v>
      </c>
      <c r="F33" s="17" t="n">
        <v>5.05</v>
      </c>
      <c r="G33" s="17" t="n">
        <v>58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5.005</v>
      </c>
      <c r="F34" s="17" t="n">
        <v>5.05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44823</v>
      </c>
      <c r="D35" s="42" t="n">
        <v>44861</v>
      </c>
      <c r="E35" s="17" t="n">
        <v>5.189</v>
      </c>
      <c r="F35" s="17" t="n">
        <v>5.05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45302</v>
      </c>
      <c r="D36" s="42" t="n">
        <v>45831</v>
      </c>
      <c r="E36" s="17" t="n">
        <v>5.72</v>
      </c>
      <c r="F36" s="17" t="n">
        <v>6.83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263</v>
      </c>
      <c r="B37" s="16" t="s">
        <v>408</v>
      </c>
      <c r="C37" s="41" t="n">
        <v>44867</v>
      </c>
      <c r="D37" s="42" t="n">
        <v>45271</v>
      </c>
      <c r="E37" s="17" t="n">
        <v>840.19</v>
      </c>
      <c r="F37" s="17" t="n">
        <v>1000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264</v>
      </c>
      <c r="B38" s="16" t="s">
        <v>407</v>
      </c>
      <c r="C38" s="41" t="n">
        <v>44867</v>
      </c>
      <c r="D38" s="42" t="n">
        <v>45721</v>
      </c>
      <c r="E38" s="17" t="n">
        <v>994.38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265</v>
      </c>
      <c r="B39" s="16" t="s">
        <v>398</v>
      </c>
      <c r="C39" s="41" t="n">
        <v>44998</v>
      </c>
      <c r="D39" s="42" t="n">
        <v>45840</v>
      </c>
      <c r="E39" s="17" t="n">
        <v>353.25</v>
      </c>
      <c r="F39" s="17" t="n">
        <v>150.81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266</v>
      </c>
      <c r="B40" s="16" t="s">
        <v>409</v>
      </c>
      <c r="C40" s="41" t="n">
        <v>45079</v>
      </c>
      <c r="D40" s="42" t="n">
        <v>45663</v>
      </c>
      <c r="E40" s="17" t="n">
        <v>1090.2</v>
      </c>
      <c r="F40" s="17" t="n">
        <v>1000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267</v>
      </c>
      <c r="B41" s="16" t="s">
        <v>410</v>
      </c>
      <c r="C41" s="41" t="n">
        <v>45132</v>
      </c>
      <c r="D41" s="42" t="n">
        <v>45781</v>
      </c>
      <c r="E41" s="17" t="n">
        <v>1024.875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</v>
      </c>
      <c r="B42" s="16" t="s">
        <v>34</v>
      </c>
      <c r="C42" s="41" t="n">
        <v>45302</v>
      </c>
      <c r="D42" s="42" t="n">
        <v>45628</v>
      </c>
      <c r="E42" s="17" t="n">
        <v>7.42</v>
      </c>
      <c r="F42" s="17" t="n">
        <v>11.38</v>
      </c>
      <c r="G42" s="17" t="n">
        <v>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45456</v>
      </c>
      <c r="D43" s="42" t="n">
        <v>45628</v>
      </c>
      <c r="E43" s="17" t="n">
        <v>8.31</v>
      </c>
      <c r="F43" s="17" t="n">
        <v>11.38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</v>
      </c>
      <c r="B44" s="16" t="s">
        <v>37</v>
      </c>
      <c r="C44" s="41" t="n">
        <v>45645</v>
      </c>
      <c r="D44" s="42" t="n">
        <v>45769</v>
      </c>
      <c r="E44" s="17" t="n">
        <v>10.16</v>
      </c>
      <c r="F44" s="17" t="n">
        <v>11.7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27</v>
      </c>
      <c r="B45" s="16" t="s">
        <v>28</v>
      </c>
      <c r="C45" s="41" t="n">
        <v>45888</v>
      </c>
      <c r="D45" s="42" t="n">
        <v>46031</v>
      </c>
      <c r="E45" s="17" t="n">
        <v>141.27</v>
      </c>
      <c r="F45" s="17" t="n">
        <v>150.06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27</v>
      </c>
      <c r="B46" s="16" t="s">
        <v>28</v>
      </c>
      <c r="C46" s="41" t="n">
        <v>45999</v>
      </c>
      <c r="D46" s="42" t="n">
        <v>46031</v>
      </c>
      <c r="E46" s="17" t="n">
        <v>148.07</v>
      </c>
      <c r="F46" s="17" t="n">
        <v>150.06</v>
      </c>
      <c r="G46" s="17" t="n">
        <v>15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84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84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85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85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94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95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105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113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114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115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84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90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92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93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94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85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95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84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84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85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120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-34.14</v>
      </c>
      <c r="C81" s="16" t="s">
        <v>98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-250</v>
      </c>
      <c r="C82" s="16" t="s">
        <v>121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122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100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123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101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84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84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102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103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93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120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-30.24</v>
      </c>
      <c r="C102" s="16" t="s">
        <v>124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-250</v>
      </c>
      <c r="C103" s="16" t="s">
        <v>121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125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122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100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101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123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110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111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112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113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103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115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130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131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90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132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92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93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133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134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120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-25.36</v>
      </c>
      <c r="C140" s="16" t="s">
        <v>135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-250</v>
      </c>
      <c r="C141" s="16" t="s">
        <v>121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100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122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101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84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102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134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103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105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130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131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133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84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84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93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84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133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120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-21.46</v>
      </c>
      <c r="C172" s="16" t="s">
        <v>138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-250</v>
      </c>
      <c r="C173" s="16" t="s">
        <v>121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100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122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101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140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-53.84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-1000</v>
      </c>
      <c r="C185" s="16" t="s">
        <v>141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111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-18.36</v>
      </c>
      <c r="C187" s="16" t="s">
        <v>133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-29.66</v>
      </c>
      <c r="C188" s="16" t="s">
        <v>112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113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142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134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102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103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85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143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115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145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133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94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134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95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-25.29</v>
      </c>
      <c r="C221" s="16" t="s">
        <v>150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-250</v>
      </c>
      <c r="C222" s="16" t="s">
        <v>120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-16.58</v>
      </c>
      <c r="C223" s="16" t="s">
        <v>151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-250</v>
      </c>
      <c r="C224" s="16" t="s">
        <v>121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152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153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122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100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123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101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154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155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140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133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111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134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102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103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144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155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131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134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92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93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155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134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-25.29</v>
      </c>
      <c r="C256" s="16" t="s">
        <v>150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-250</v>
      </c>
      <c r="C257" s="16" t="s">
        <v>120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160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152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161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122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100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101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123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155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111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134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163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102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103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164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165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115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144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-18.36</v>
      </c>
      <c r="C288" s="16" t="s">
        <v>133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-77.76</v>
      </c>
      <c r="C289" s="16" t="s">
        <v>130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145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131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134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169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170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92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93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171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172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-39.38</v>
      </c>
      <c r="C301" s="16" t="s">
        <v>159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-10.8</v>
      </c>
      <c r="C302" s="16" t="s">
        <v>173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133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-110.66</v>
      </c>
      <c r="C308" s="16" t="s">
        <v>94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-55.08</v>
      </c>
      <c r="C309" s="16" t="s">
        <v>174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95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175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-250</v>
      </c>
      <c r="C312" s="16" t="s">
        <v>120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-25.29</v>
      </c>
      <c r="C313" s="16" t="s">
        <v>150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-8.78</v>
      </c>
      <c r="C314" s="16" t="s">
        <v>176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-250</v>
      </c>
      <c r="C315" s="16" t="s">
        <v>121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152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177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122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100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123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101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155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140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111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133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134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144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180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181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182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155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133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130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134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131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170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183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171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185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167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155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133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134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-25.29</v>
      </c>
      <c r="C354" s="16" t="s">
        <v>150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-250</v>
      </c>
      <c r="C355" s="16" t="s">
        <v>120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-3.9</v>
      </c>
      <c r="C356" s="16" t="s">
        <v>186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-250</v>
      </c>
      <c r="C357" s="16" t="s">
        <v>121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152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100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101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190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191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192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162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155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193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140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133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111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194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134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195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115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84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197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133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130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200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131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155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134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170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201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93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171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202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203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204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133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155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134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-55.08</v>
      </c>
      <c r="C404" s="16" t="s">
        <v>174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-110.66</v>
      </c>
      <c r="C405" s="16" t="s">
        <v>94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95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175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150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152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205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155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-18.36</v>
      </c>
      <c r="C416" s="16" t="s">
        <v>133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-30.41</v>
      </c>
      <c r="C417" s="16" t="s">
        <v>140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134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111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208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209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210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167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155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133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170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211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171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93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212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-49.84</v>
      </c>
      <c r="C432" s="16" t="s">
        <v>213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-5.98</v>
      </c>
      <c r="C433" s="16" t="s">
        <v>214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215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133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155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150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152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167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194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218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115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219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220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155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170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221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171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93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213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222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223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155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-55.08</v>
      </c>
      <c r="C463" s="16" t="s">
        <v>174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-225.28</v>
      </c>
      <c r="C464" s="16" t="s">
        <v>224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95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175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150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152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225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84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229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167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155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170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230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171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93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232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233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167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155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150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152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234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235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155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194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84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46008</v>
      </c>
      <c r="B498" s="6" t="n">
        <v>-195.48</v>
      </c>
      <c r="C498" s="16" t="s">
        <v>236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46009.453923611</v>
      </c>
      <c r="B499" s="6" t="n">
        <v>224.48</v>
      </c>
      <c r="C499" s="16" t="s">
        <v>115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46022</v>
      </c>
      <c r="B500" s="6" t="n">
        <v>-57.36</v>
      </c>
      <c r="C500" s="16" t="s">
        <v>237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46023</v>
      </c>
      <c r="B501" s="6" t="n">
        <v>-3.7</v>
      </c>
      <c r="C501" s="16" t="s">
        <v>238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46031.454074074</v>
      </c>
      <c r="B502" s="6" t="n">
        <v>2691.01</v>
      </c>
      <c r="C502" s="16" t="s">
        <v>84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46034.630266204</v>
      </c>
      <c r="B503" s="6" t="n">
        <v>3.7</v>
      </c>
      <c r="C503" s="16" t="s">
        <v>155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46034.816354167</v>
      </c>
      <c r="B504" s="6" t="n">
        <v>57.36</v>
      </c>
      <c r="C504" s="16" t="s">
        <v>167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46034.827986111</v>
      </c>
      <c r="B505" s="6" t="n">
        <v>1.2</v>
      </c>
      <c r="C505" s="16" t="s">
        <v>134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46036</v>
      </c>
      <c r="B506" s="6" t="n">
        <v>-250</v>
      </c>
      <c r="C506" s="16" t="s">
        <v>170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46037</v>
      </c>
      <c r="B507" s="6" t="n">
        <v>-10.4</v>
      </c>
      <c r="C507" s="16" t="s">
        <v>239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46038.513449074</v>
      </c>
      <c r="B508" s="6" t="n">
        <v>11.4</v>
      </c>
      <c r="C508" s="16" t="s">
        <v>93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46038.514293981</v>
      </c>
      <c r="B509" s="6" t="n">
        <v>250</v>
      </c>
      <c r="C509" s="16" t="s">
        <v>171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46051</v>
      </c>
      <c r="B510" s="6" t="n">
        <v>-41.87</v>
      </c>
      <c r="C510" s="16" t="s">
        <v>240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46052.487291667</v>
      </c>
      <c r="B511" s="6" t="n">
        <v>47.87</v>
      </c>
      <c r="C511" s="16" t="s">
        <v>119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46053</v>
      </c>
      <c r="B512" s="6" t="n">
        <v>-63.66</v>
      </c>
      <c r="C512" s="16" t="s">
        <v>241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46054</v>
      </c>
      <c r="B513" s="6" t="n">
        <v>-3.3</v>
      </c>
      <c r="C513" s="16" t="s">
        <v>242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46056.433576389</v>
      </c>
      <c r="B514" s="6" t="n">
        <v>3.3</v>
      </c>
      <c r="C514" s="16" t="s">
        <v>155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46056.433657407</v>
      </c>
      <c r="B515" s="6" t="n">
        <v>63.66</v>
      </c>
      <c r="C515" s="16" t="s">
        <v>167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46063</v>
      </c>
      <c r="B516" s="6" t="n">
        <v>-55.08</v>
      </c>
      <c r="C516" s="16" t="s">
        <v>174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46063</v>
      </c>
      <c r="B517" s="6" t="n">
        <v>-225.28</v>
      </c>
      <c r="C517" s="16" t="s">
        <v>224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46064.433113426</v>
      </c>
      <c r="B518" s="6" t="n">
        <v>63.08</v>
      </c>
      <c r="C518" s="16" t="s">
        <v>175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46064.591076389</v>
      </c>
      <c r="B519" s="6" t="n">
        <v>259.28</v>
      </c>
      <c r="C519" s="16" t="s">
        <v>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46076</v>
      </c>
      <c r="B520" s="6" t="n">
        <v>-25.29</v>
      </c>
      <c r="C520" s="16" t="s">
        <v>150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2" t="n">
        <v>46078</v>
      </c>
      <c r="B521" s="5" t="n">
        <v>-136759.06</v>
      </c>
      <c r="C521" s="14" t="s">
        <v>243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/>
      <c r="B522" s="9" t="s">
        <f>=XIRR(B2:B521,A2:A521)</f>
      </c>
      <c r="C522" s="16" t="s">
        <v>244</v>
      </c>
      <c r="D522" s="16"/>
      <c r="E522" s="16"/>
      <c r="F522" s="7"/>
      <c r="G522" s="2" t="s">
        <v>245</v>
      </c>
      <c r="H522" s="6" t="s">
        <f>=SUM(I2:H521)/365</f>
      </c>
    </row>
    <row collapsed="false" customFormat="false" customHeight="false" hidden="false" ht="12.1" outlineLevel="0" r="523">
      <c r="A523" s="13"/>
      <c r="B523" s="5" t="s">
        <f>=-SUM(B2:B521)</f>
      </c>
      <c r="C523" s="16" t="s">
        <v>246</v>
      </c>
      <c r="D523" s="16"/>
      <c r="E523" s="16"/>
      <c r="F523" s="7"/>
      <c r="G523" s="14" t="s">
        <v>247</v>
      </c>
      <c r="H523" s="9" t="s">
        <f>=B523/H522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65</v>
      </c>
      <c r="AM1" s="0"/>
      <c r="AN1" s="0"/>
      <c r="AO1" s="4" t="s">
        <v>69</v>
      </c>
      <c r="AP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248</v>
      </c>
      <c r="D2" s="11" t="n">
        <v>45302</v>
      </c>
      <c r="E2" s="6" t="n">
        <v>1560</v>
      </c>
      <c r="F2" s="0" t="s">
        <v>248</v>
      </c>
      <c r="G2" s="11" t="n">
        <v>45888</v>
      </c>
      <c r="H2" s="6" t="n">
        <v>282.54</v>
      </c>
      <c r="I2" s="0" t="s">
        <v>248</v>
      </c>
      <c r="J2" s="11" t="n">
        <v>44749</v>
      </c>
      <c r="K2" s="6" t="n">
        <v>334.93</v>
      </c>
      <c r="L2" s="0" t="s">
        <v>248</v>
      </c>
      <c r="M2" s="11" t="n">
        <v>45302</v>
      </c>
      <c r="N2" s="6" t="n">
        <v>3710</v>
      </c>
      <c r="O2" s="0" t="s">
        <v>248</v>
      </c>
      <c r="P2" s="11" t="n">
        <v>45645</v>
      </c>
      <c r="Q2" s="6" t="n">
        <v>172.72</v>
      </c>
      <c r="R2" s="0" t="s">
        <v>248</v>
      </c>
      <c r="S2" s="11" t="n">
        <v>44743</v>
      </c>
      <c r="T2" s="6" t="s">
        <f>=2219.23</f>
      </c>
      <c r="U2" s="0" t="s">
        <v>248</v>
      </c>
      <c r="V2" s="11" t="n">
        <v>44931</v>
      </c>
      <c r="W2" s="6" t="s">
        <f>=937.04</f>
      </c>
      <c r="X2" s="0" t="s">
        <v>248</v>
      </c>
      <c r="Y2" s="11" t="n">
        <v>44743</v>
      </c>
      <c r="Z2" s="6" t="s">
        <f>=2083.66</f>
      </c>
      <c r="AA2" s="0" t="s">
        <v>248</v>
      </c>
      <c r="AB2" s="11" t="n">
        <v>44931</v>
      </c>
      <c r="AC2" s="6" t="s">
        <f>=1030.61</f>
      </c>
      <c r="AD2" s="0" t="s">
        <v>248</v>
      </c>
      <c r="AE2" s="11" t="n">
        <v>45342</v>
      </c>
      <c r="AF2" s="6" t="s">
        <f>=933.96</f>
      </c>
      <c r="AG2" s="0" t="s">
        <v>248</v>
      </c>
      <c r="AH2" s="11" t="n">
        <v>45342</v>
      </c>
      <c r="AI2" s="6" t="s">
        <f>=959.37</f>
      </c>
      <c r="AJ2" s="0" t="s">
        <v>248</v>
      </c>
      <c r="AK2" s="11" t="n">
        <v>45342</v>
      </c>
      <c r="AL2" s="6" t="s">
        <f>=1801.92</f>
      </c>
      <c r="AM2" s="0" t="s">
        <v>248</v>
      </c>
      <c r="AN2" s="11" t="n">
        <v>44734</v>
      </c>
      <c r="AO2" s="6" t="s">
        <f>=1931.66</f>
      </c>
      <c r="AP2" s="0" t="s">
        <v>248</v>
      </c>
    </row>
    <row collapsed="false" customFormat="false" customHeight="false" hidden="false" ht="12.1" outlineLevel="0" r="3">
      <c r="A3" s="11" t="n">
        <v>46206</v>
      </c>
      <c r="B3" s="8" t="s">
        <f>=-Портфель!J2</f>
      </c>
      <c r="C3" s="0" t="s">
        <v>249</v>
      </c>
      <c r="D3" s="11" t="n">
        <v>45351</v>
      </c>
      <c r="E3" s="6" t="n">
        <v>530.5</v>
      </c>
      <c r="F3" s="0" t="s">
        <v>248</v>
      </c>
      <c r="G3" s="11" t="n">
        <v>45898</v>
      </c>
      <c r="H3" s="6" t="n">
        <v>-2.86</v>
      </c>
      <c r="I3" s="0" t="s">
        <v>225</v>
      </c>
      <c r="J3" s="11" t="n">
        <v>44760</v>
      </c>
      <c r="K3" s="6" t="n">
        <v>575.72</v>
      </c>
      <c r="L3" s="0" t="s">
        <v>248</v>
      </c>
      <c r="M3" s="11" t="n">
        <v>45456</v>
      </c>
      <c r="N3" s="6" t="n">
        <v>8.31</v>
      </c>
      <c r="O3" s="0" t="s">
        <v>248</v>
      </c>
      <c r="P3" s="11" t="n">
        <v>45673</v>
      </c>
      <c r="Q3" s="6" t="n">
        <v>281.32</v>
      </c>
      <c r="R3" s="0" t="s">
        <v>248</v>
      </c>
      <c r="S3" s="11" t="n">
        <v>44916</v>
      </c>
      <c r="T3" s="6" t="s">
        <f>=-126.9</f>
      </c>
      <c r="U3" s="0" t="s">
        <v>114</v>
      </c>
      <c r="V3" s="11" t="n">
        <v>44931</v>
      </c>
      <c r="W3" s="6" t="s">
        <f>=937.04</f>
      </c>
      <c r="X3" s="0" t="s">
        <v>248</v>
      </c>
      <c r="Y3" s="11" t="n">
        <v>44789</v>
      </c>
      <c r="Z3" s="6" t="s">
        <f>=-110.66</f>
      </c>
      <c r="AA3" s="0" t="s">
        <v>94</v>
      </c>
      <c r="AB3" s="11" t="n">
        <v>44959</v>
      </c>
      <c r="AC3" s="6" t="s">
        <f>=-23.42</f>
      </c>
      <c r="AD3" s="0" t="s">
        <v>118</v>
      </c>
      <c r="AE3" s="11" t="n">
        <v>45517</v>
      </c>
      <c r="AF3" s="6" t="s">
        <f>=-55.08</f>
      </c>
      <c r="AG3" s="0" t="s">
        <v>174</v>
      </c>
      <c r="AH3" s="11" t="n">
        <v>45348</v>
      </c>
      <c r="AI3" s="6" t="s">
        <f>=-25.29</f>
      </c>
      <c r="AJ3" s="0" t="s">
        <v>150</v>
      </c>
      <c r="AK3" s="11" t="n">
        <v>45352</v>
      </c>
      <c r="AL3" s="6" t="s">
        <f>=-10.72</f>
      </c>
      <c r="AM3" s="0" t="s">
        <v>154</v>
      </c>
      <c r="AN3" s="11" t="n">
        <v>44763</v>
      </c>
      <c r="AO3" s="6" t="s">
        <f>=-39.62</f>
      </c>
      <c r="AP3" s="0" t="s">
        <v>92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45441</v>
      </c>
      <c r="E4" s="6" t="n">
        <v>31.53</v>
      </c>
      <c r="F4" s="0" t="s">
        <v>248</v>
      </c>
      <c r="G4" s="11" t="n">
        <v>45999</v>
      </c>
      <c r="H4" s="6" t="n">
        <v>50788.01</v>
      </c>
      <c r="I4" s="0" t="s">
        <v>248</v>
      </c>
      <c r="J4" s="11" t="n">
        <v>44767</v>
      </c>
      <c r="K4" s="6" t="n">
        <v>54.26</v>
      </c>
      <c r="L4" s="0" t="s">
        <v>248</v>
      </c>
      <c r="M4" s="11" t="n">
        <v>45628</v>
      </c>
      <c r="N4" s="6" t="n">
        <v>-5701.38</v>
      </c>
      <c r="O4" s="0" t="s">
        <v>250</v>
      </c>
      <c r="P4" s="11" t="n">
        <v>45769</v>
      </c>
      <c r="Q4" s="6" t="n">
        <v>-81.9</v>
      </c>
      <c r="R4" s="0" t="s">
        <v>250</v>
      </c>
      <c r="S4" s="11" t="n">
        <v>45098</v>
      </c>
      <c r="T4" s="6" t="s">
        <f>=-83.04</f>
      </c>
      <c r="U4" s="0" t="s">
        <v>129</v>
      </c>
      <c r="V4" s="11" t="n">
        <v>45089</v>
      </c>
      <c r="W4" s="6" t="s">
        <f>=-53.84</f>
      </c>
      <c r="X4" s="0" t="s">
        <v>127</v>
      </c>
      <c r="Y4" s="11" t="n">
        <v>44971</v>
      </c>
      <c r="Z4" s="6" t="s">
        <f>=-110.66</f>
      </c>
      <c r="AA4" s="0" t="s">
        <v>94</v>
      </c>
      <c r="AB4" s="11" t="n">
        <v>45050</v>
      </c>
      <c r="AC4" s="6" t="s">
        <f>=-23.42</f>
      </c>
      <c r="AD4" s="0" t="s">
        <v>118</v>
      </c>
      <c r="AE4" s="11" t="n">
        <v>45699</v>
      </c>
      <c r="AF4" s="6" t="s">
        <f>=-55.08</f>
      </c>
      <c r="AG4" s="0" t="s">
        <v>174</v>
      </c>
      <c r="AH4" s="11" t="n">
        <v>45439</v>
      </c>
      <c r="AI4" s="6" t="s">
        <f>=-25.29</f>
      </c>
      <c r="AJ4" s="0" t="s">
        <v>150</v>
      </c>
      <c r="AK4" s="11" t="n">
        <v>45383</v>
      </c>
      <c r="AL4" s="6" t="s">
        <f>=-11.58</f>
      </c>
      <c r="AM4" s="0" t="s">
        <v>157</v>
      </c>
      <c r="AN4" s="11" t="n">
        <v>44854</v>
      </c>
      <c r="AO4" s="6" t="s">
        <f>=-39.62</f>
      </c>
      <c r="AP4" s="0" t="s">
        <v>92</v>
      </c>
    </row>
    <row collapsed="false" customFormat="false" customHeight="false" hidden="false" ht="12.1" outlineLevel="0" r="5">
      <c r="A5" s="0"/>
      <c r="B5" s="8" t="s">
        <f>=-SUM(B2:B3)</f>
      </c>
      <c r="C5" s="0" t="s">
        <v>251</v>
      </c>
      <c r="D5" s="11" t="n">
        <v>45456</v>
      </c>
      <c r="E5" s="6" t="n">
        <v>113.19</v>
      </c>
      <c r="F5" s="0" t="s">
        <v>248</v>
      </c>
      <c r="G5" s="11" t="n">
        <v>46031</v>
      </c>
      <c r="H5" s="6" t="n">
        <v>-2551.02</v>
      </c>
      <c r="I5" s="0" t="s">
        <v>250</v>
      </c>
      <c r="J5" s="11" t="n">
        <v>44791</v>
      </c>
      <c r="K5" s="6" t="n">
        <v>109.89</v>
      </c>
      <c r="L5" s="0" t="s">
        <v>248</v>
      </c>
      <c r="M5" s="11" t="n">
        <v>45691</v>
      </c>
      <c r="N5" s="6" t="n">
        <v>56.15</v>
      </c>
      <c r="O5" s="0" t="s">
        <v>248</v>
      </c>
      <c r="P5" s="11" t="n">
        <v>46078</v>
      </c>
      <c r="Q5" s="8" t="s">
        <f>=-Портфель!J8</f>
      </c>
      <c r="R5" s="0" t="s">
        <v>249</v>
      </c>
      <c r="S5" s="11" t="n">
        <v>45280</v>
      </c>
      <c r="T5" s="6" t="s">
        <f>=-76.96</f>
      </c>
      <c r="U5" s="0" t="s">
        <v>143</v>
      </c>
      <c r="V5" s="11" t="n">
        <v>45271</v>
      </c>
      <c r="W5" s="6" t="s">
        <f>=-53.84</f>
      </c>
      <c r="X5" s="0" t="s">
        <v>127</v>
      </c>
      <c r="Y5" s="11" t="n">
        <v>45153</v>
      </c>
      <c r="Z5" s="6" t="s">
        <f>=-110.66</f>
      </c>
      <c r="AA5" s="0" t="s">
        <v>94</v>
      </c>
      <c r="AB5" s="11" t="n">
        <v>45141</v>
      </c>
      <c r="AC5" s="6" t="s">
        <f>=-23.42</f>
      </c>
      <c r="AD5" s="0" t="s">
        <v>118</v>
      </c>
      <c r="AE5" s="11" t="n">
        <v>45881</v>
      </c>
      <c r="AF5" s="6" t="s">
        <f>=-55.08</f>
      </c>
      <c r="AG5" s="0" t="s">
        <v>174</v>
      </c>
      <c r="AH5" s="11" t="n">
        <v>45530</v>
      </c>
      <c r="AI5" s="6" t="s">
        <f>=-25.29</f>
      </c>
      <c r="AJ5" s="0" t="s">
        <v>150</v>
      </c>
      <c r="AK5" s="11" t="n">
        <v>45413</v>
      </c>
      <c r="AL5" s="6" t="s">
        <f>=-11.16</f>
      </c>
      <c r="AM5" s="0" t="s">
        <v>158</v>
      </c>
      <c r="AN5" s="11" t="n">
        <v>44945</v>
      </c>
      <c r="AO5" s="6" t="s">
        <f>=-39.62</f>
      </c>
      <c r="AP5" s="0" t="s">
        <v>92</v>
      </c>
    </row>
    <row collapsed="false" customFormat="false" customHeight="false" hidden="false" ht="12.1" outlineLevel="0" r="6">
      <c r="A6" s="0"/>
      <c r="B6" s="0"/>
      <c r="C6" s="0"/>
      <c r="D6" s="11" t="n">
        <v>45457</v>
      </c>
      <c r="E6" s="6" t="n">
        <v>2016.3</v>
      </c>
      <c r="F6" s="0" t="s">
        <v>248</v>
      </c>
      <c r="G6" s="11" t="n">
        <v>46253</v>
      </c>
      <c r="H6" s="8" t="s">
        <f>=-Портфель!J5</f>
      </c>
      <c r="I6" s="0" t="s">
        <v>249</v>
      </c>
      <c r="J6" s="11" t="n">
        <v>44791</v>
      </c>
      <c r="K6" s="6" t="n">
        <v>214.74</v>
      </c>
      <c r="L6" s="0" t="s">
        <v>248</v>
      </c>
      <c r="M6" s="11" t="n">
        <v>45693</v>
      </c>
      <c r="N6" s="6" t="n">
        <v>111.9</v>
      </c>
      <c r="O6" s="0" t="s">
        <v>248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165</v>
      </c>
      <c r="V6" s="11" t="n">
        <v>45453</v>
      </c>
      <c r="W6" s="6" t="s">
        <f>=-53.84</f>
      </c>
      <c r="X6" s="0" t="s">
        <v>127</v>
      </c>
      <c r="Y6" s="11" t="n">
        <v>45335</v>
      </c>
      <c r="Z6" s="6" t="s">
        <f>=-110.66</f>
      </c>
      <c r="AA6" s="0" t="s">
        <v>94</v>
      </c>
      <c r="AB6" s="11" t="n">
        <v>45232</v>
      </c>
      <c r="AC6" s="6" t="s">
        <f>=-23.42</f>
      </c>
      <c r="AD6" s="0" t="s">
        <v>118</v>
      </c>
      <c r="AE6" s="11" t="n">
        <v>46063</v>
      </c>
      <c r="AF6" s="6" t="s">
        <f>=-55.08</f>
      </c>
      <c r="AG6" s="0" t="s">
        <v>174</v>
      </c>
      <c r="AH6" s="11" t="n">
        <v>45621</v>
      </c>
      <c r="AI6" s="6" t="s">
        <f>=-25.29</f>
      </c>
      <c r="AJ6" s="0" t="s">
        <v>150</v>
      </c>
      <c r="AK6" s="11" t="n">
        <v>45444</v>
      </c>
      <c r="AL6" s="6" t="s">
        <f>=-11.58</f>
      </c>
      <c r="AM6" s="0" t="s">
        <v>157</v>
      </c>
      <c r="AN6" s="11" t="n">
        <v>45036</v>
      </c>
      <c r="AO6" s="6" t="s">
        <f>=-39.62</f>
      </c>
      <c r="AP6" s="0" t="s">
        <v>92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248</v>
      </c>
      <c r="G7" s="0"/>
      <c r="H7" s="10" t="s">
        <f>=XIRR(H2:H6,G2:G6)</f>
      </c>
      <c r="I7" s="0"/>
      <c r="J7" s="11" t="n">
        <v>44799</v>
      </c>
      <c r="K7" s="6" t="n">
        <v>119.98</v>
      </c>
      <c r="L7" s="0" t="s">
        <v>248</v>
      </c>
      <c r="M7" s="11" t="n">
        <v>45693</v>
      </c>
      <c r="N7" s="6" t="n">
        <v>11.19</v>
      </c>
      <c r="O7" s="0" t="s">
        <v>248</v>
      </c>
      <c r="P7" s="0"/>
      <c r="Q7" s="8" t="s">
        <f>=-SUM(Q2:Q5)</f>
      </c>
      <c r="R7" s="0" t="s">
        <v>251</v>
      </c>
      <c r="S7" s="11" t="n">
        <v>45644</v>
      </c>
      <c r="T7" s="6" t="s">
        <f>=-150.62</f>
      </c>
      <c r="U7" s="0" t="s">
        <v>196</v>
      </c>
      <c r="V7" s="11" t="n">
        <v>45635</v>
      </c>
      <c r="W7" s="6" t="s">
        <f>=-142.56</f>
      </c>
      <c r="X7" s="0" t="s">
        <v>194</v>
      </c>
      <c r="Y7" s="11" t="n">
        <v>45517</v>
      </c>
      <c r="Z7" s="6" t="s">
        <f>=-110.66</f>
      </c>
      <c r="AA7" s="0" t="s">
        <v>94</v>
      </c>
      <c r="AB7" s="11" t="n">
        <v>45323</v>
      </c>
      <c r="AC7" s="6" t="s">
        <f>=-23.42</f>
      </c>
      <c r="AD7" s="0" t="s">
        <v>118</v>
      </c>
      <c r="AE7" s="11" t="n">
        <v>46078</v>
      </c>
      <c r="AF7" s="8" t="s">
        <f>=-Портфель!J14</f>
      </c>
      <c r="AG7" s="0" t="s">
        <v>249</v>
      </c>
      <c r="AH7" s="11" t="n">
        <v>45712</v>
      </c>
      <c r="AI7" s="6" t="s">
        <f>=-25.29</f>
      </c>
      <c r="AJ7" s="0" t="s">
        <v>150</v>
      </c>
      <c r="AK7" s="11" t="n">
        <v>45473</v>
      </c>
      <c r="AL7" s="6" t="s">
        <f>=-115.46</f>
      </c>
      <c r="AM7" s="0" t="s">
        <v>166</v>
      </c>
      <c r="AN7" s="11" t="n">
        <v>45127</v>
      </c>
      <c r="AO7" s="6" t="s">
        <f>=-39.62</f>
      </c>
      <c r="AP7" s="0" t="s">
        <v>92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248</v>
      </c>
      <c r="G8" s="0"/>
      <c r="H8" s="8" t="s">
        <f>=-SUM(H2:H6)</f>
      </c>
      <c r="I8" s="0" t="s">
        <v>251</v>
      </c>
      <c r="J8" s="11" t="n">
        <v>44803</v>
      </c>
      <c r="K8" s="6" t="n">
        <v>290.23</v>
      </c>
      <c r="L8" s="0" t="s">
        <v>248</v>
      </c>
      <c r="M8" s="11" t="n">
        <v>45700</v>
      </c>
      <c r="N8" s="6" t="n">
        <v>221.6</v>
      </c>
      <c r="O8" s="0" t="s">
        <v>248</v>
      </c>
      <c r="P8" s="0"/>
      <c r="Q8" s="0"/>
      <c r="R8" s="0"/>
      <c r="S8" s="11" t="n">
        <v>45826</v>
      </c>
      <c r="T8" s="6" t="s">
        <f>=-172.66</f>
      </c>
      <c r="U8" s="0" t="s">
        <v>218</v>
      </c>
      <c r="V8" s="11" t="n">
        <v>45817</v>
      </c>
      <c r="W8" s="6" t="s">
        <f>=-142.56</f>
      </c>
      <c r="X8" s="0" t="s">
        <v>194</v>
      </c>
      <c r="Y8" s="11" t="n">
        <v>45699</v>
      </c>
      <c r="Z8" s="6" t="s">
        <f>=-110.66</f>
      </c>
      <c r="AA8" s="0" t="s">
        <v>94</v>
      </c>
      <c r="AB8" s="11" t="n">
        <v>45414</v>
      </c>
      <c r="AC8" s="6" t="s">
        <f>=-39.38</f>
      </c>
      <c r="AD8" s="0" t="s">
        <v>159</v>
      </c>
      <c r="AE8" s="0"/>
      <c r="AF8" s="10" t="s">
        <f>=XIRR(AF2:AF7,AE2:AE7)</f>
      </c>
      <c r="AG8" s="0"/>
      <c r="AH8" s="11" t="n">
        <v>45803</v>
      </c>
      <c r="AI8" s="6" t="s">
        <f>=-25.29</f>
      </c>
      <c r="AJ8" s="0" t="s">
        <v>150</v>
      </c>
      <c r="AK8" s="11" t="n">
        <v>45474</v>
      </c>
      <c r="AL8" s="6" t="s">
        <f>=-11.16</f>
      </c>
      <c r="AM8" s="0" t="s">
        <v>158</v>
      </c>
      <c r="AN8" s="11" t="n">
        <v>45218</v>
      </c>
      <c r="AO8" s="6" t="s">
        <f>=-39.62</f>
      </c>
      <c r="AP8" s="0" t="s">
        <v>92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248</v>
      </c>
      <c r="G9" s="0"/>
      <c r="H9" s="0"/>
      <c r="I9" s="0"/>
      <c r="J9" s="11" t="n">
        <v>44803</v>
      </c>
      <c r="K9" s="6" t="n">
        <v>10.01</v>
      </c>
      <c r="L9" s="0" t="s">
        <v>248</v>
      </c>
      <c r="M9" s="11" t="n">
        <v>45720</v>
      </c>
      <c r="N9" s="6" t="n">
        <v>105.8</v>
      </c>
      <c r="O9" s="0" t="s">
        <v>248</v>
      </c>
      <c r="P9" s="0"/>
      <c r="Q9" s="0"/>
      <c r="R9" s="0"/>
      <c r="S9" s="11" t="n">
        <v>46008</v>
      </c>
      <c r="T9" s="6" t="s">
        <f>=-195.48</f>
      </c>
      <c r="U9" s="0" t="s">
        <v>236</v>
      </c>
      <c r="V9" s="11" t="n">
        <v>45999</v>
      </c>
      <c r="W9" s="6" t="s">
        <f>=-142.56</f>
      </c>
      <c r="X9" s="0" t="s">
        <v>194</v>
      </c>
      <c r="Y9" s="11" t="n">
        <v>45881</v>
      </c>
      <c r="Z9" s="6" t="s">
        <f>=-225.28</f>
      </c>
      <c r="AA9" s="0" t="s">
        <v>224</v>
      </c>
      <c r="AB9" s="11" t="n">
        <v>45505</v>
      </c>
      <c r="AC9" s="6" t="s">
        <f>=-39.38</f>
      </c>
      <c r="AD9" s="0" t="s">
        <v>159</v>
      </c>
      <c r="AE9" s="0"/>
      <c r="AF9" s="8" t="s">
        <f>=-SUM(AF2:AF7)</f>
      </c>
      <c r="AG9" s="0" t="s">
        <v>251</v>
      </c>
      <c r="AH9" s="11" t="n">
        <v>45894</v>
      </c>
      <c r="AI9" s="6" t="s">
        <f>=-25.29</f>
      </c>
      <c r="AJ9" s="0" t="s">
        <v>150</v>
      </c>
      <c r="AK9" s="11" t="n">
        <v>45504</v>
      </c>
      <c r="AL9" s="6" t="s">
        <f>=-101</f>
      </c>
      <c r="AM9" s="0" t="s">
        <v>172</v>
      </c>
      <c r="AN9" s="11" t="n">
        <v>45309</v>
      </c>
      <c r="AO9" s="6" t="s">
        <f>=-39.62</f>
      </c>
      <c r="AP9" s="0" t="s">
        <v>92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248</v>
      </c>
      <c r="G10" s="0"/>
      <c r="H10" s="0"/>
      <c r="I10" s="0"/>
      <c r="J10" s="11" t="n">
        <v>44823</v>
      </c>
      <c r="K10" s="6" t="n">
        <v>103.78</v>
      </c>
      <c r="L10" s="0" t="s">
        <v>248</v>
      </c>
      <c r="M10" s="11" t="n">
        <v>45728</v>
      </c>
      <c r="N10" s="6" t="n">
        <v>1049.39</v>
      </c>
      <c r="O10" s="0" t="s">
        <v>248</v>
      </c>
      <c r="P10" s="0"/>
      <c r="Q10" s="0"/>
      <c r="R10" s="0"/>
      <c r="S10" s="11" t="n">
        <v>46078</v>
      </c>
      <c r="T10" s="8" t="s">
        <f>=-Портфель!J10</f>
      </c>
      <c r="U10" s="0" t="s">
        <v>249</v>
      </c>
      <c r="V10" s="11" t="n">
        <v>46078</v>
      </c>
      <c r="W10" s="8" t="s">
        <f>=-Портфель!J11</f>
      </c>
      <c r="X10" s="0" t="s">
        <v>249</v>
      </c>
      <c r="Y10" s="11" t="n">
        <v>46063</v>
      </c>
      <c r="Z10" s="6" t="s">
        <f>=-225.28</f>
      </c>
      <c r="AA10" s="0" t="s">
        <v>224</v>
      </c>
      <c r="AB10" s="11" t="n">
        <v>45596</v>
      </c>
      <c r="AC10" s="6" t="s">
        <f>=-39.38</f>
      </c>
      <c r="AD10" s="0" t="s">
        <v>159</v>
      </c>
      <c r="AE10" s="0"/>
      <c r="AF10" s="0"/>
      <c r="AG10" s="0"/>
      <c r="AH10" s="11" t="n">
        <v>45985</v>
      </c>
      <c r="AI10" s="6" t="s">
        <f>=-25.29</f>
      </c>
      <c r="AJ10" s="0" t="s">
        <v>150</v>
      </c>
      <c r="AK10" s="11" t="n">
        <v>45505</v>
      </c>
      <c r="AL10" s="6" t="s">
        <f>=-10.8</f>
      </c>
      <c r="AM10" s="0" t="s">
        <v>173</v>
      </c>
      <c r="AN10" s="11" t="n">
        <v>45400</v>
      </c>
      <c r="AO10" s="6" t="s">
        <f>=-39.62</f>
      </c>
      <c r="AP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248</v>
      </c>
      <c r="G11" s="0"/>
      <c r="H11" s="0"/>
      <c r="I11" s="0"/>
      <c r="J11" s="11" t="n">
        <v>44861</v>
      </c>
      <c r="K11" s="6" t="n">
        <v>-1853.35</v>
      </c>
      <c r="L11" s="0" t="s">
        <v>250</v>
      </c>
      <c r="M11" s="11" t="n">
        <v>46078</v>
      </c>
      <c r="N11" s="8" t="s">
        <f>=-Портфель!J7</f>
      </c>
      <c r="O11" s="0" t="s">
        <v>249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46078</v>
      </c>
      <c r="Z11" s="8" t="s">
        <f>=-Портфель!J12</f>
      </c>
      <c r="AA11" s="0" t="s">
        <v>249</v>
      </c>
      <c r="AB11" s="11" t="n">
        <v>45687</v>
      </c>
      <c r="AC11" s="6" t="s">
        <f>=-45.85</f>
      </c>
      <c r="AD11" s="0" t="s">
        <v>202</v>
      </c>
      <c r="AE11" s="0"/>
      <c r="AF11" s="0"/>
      <c r="AG11" s="0"/>
      <c r="AH11" s="11" t="n">
        <v>46076</v>
      </c>
      <c r="AI11" s="6" t="s">
        <f>=-25.29</f>
      </c>
      <c r="AJ11" s="0" t="s">
        <v>150</v>
      </c>
      <c r="AK11" s="11" t="n">
        <v>45535</v>
      </c>
      <c r="AL11" s="6" t="s">
        <f>=-110.48</f>
      </c>
      <c r="AM11" s="0" t="s">
        <v>178</v>
      </c>
      <c r="AN11" s="11" t="n">
        <v>45490</v>
      </c>
      <c r="AO11" s="6" t="s">
        <f>=-250</f>
      </c>
      <c r="AP11" s="0" t="s">
        <v>170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248</v>
      </c>
      <c r="G12" s="0"/>
      <c r="H12" s="0"/>
      <c r="I12" s="0"/>
      <c r="J12" s="11" t="n">
        <v>45302</v>
      </c>
      <c r="K12" s="6" t="n">
        <v>1195.48</v>
      </c>
      <c r="L12" s="0" t="s">
        <v>248</v>
      </c>
      <c r="M12" s="0"/>
      <c r="N12" s="10" t="s">
        <f>=XIRR(N2:N11,M2:M11)</f>
      </c>
      <c r="O12" s="0"/>
      <c r="P12" s="0"/>
      <c r="Q12" s="0"/>
      <c r="R12" s="0"/>
      <c r="S12" s="0"/>
      <c r="T12" s="8" t="s">
        <f>=-SUM(T2:T10)</f>
      </c>
      <c r="U12" s="0" t="s">
        <v>251</v>
      </c>
      <c r="V12" s="0"/>
      <c r="W12" s="8" t="s">
        <f>=-SUM(W2:W10)</f>
      </c>
      <c r="X12" s="0" t="s">
        <v>251</v>
      </c>
      <c r="Y12" s="0"/>
      <c r="Z12" s="10" t="s">
        <f>=XIRR(Z2:Z11,Y2:Y11)</f>
      </c>
      <c r="AA12" s="0"/>
      <c r="AB12" s="11" t="n">
        <v>45778</v>
      </c>
      <c r="AC12" s="6" t="s">
        <f>=-49.84</f>
      </c>
      <c r="AD12" s="0" t="s">
        <v>213</v>
      </c>
      <c r="AE12" s="0"/>
      <c r="AF12" s="0"/>
      <c r="AG12" s="0"/>
      <c r="AH12" s="11" t="n">
        <v>46078</v>
      </c>
      <c r="AI12" s="8" t="s">
        <f>=-Портфель!J15</f>
      </c>
      <c r="AJ12" s="0" t="s">
        <v>249</v>
      </c>
      <c r="AK12" s="11" t="n">
        <v>45536</v>
      </c>
      <c r="AL12" s="6" t="s">
        <f>=-10.12</f>
      </c>
      <c r="AM12" s="0" t="s">
        <v>179</v>
      </c>
      <c r="AN12" s="11" t="n">
        <v>45491</v>
      </c>
      <c r="AO12" s="6" t="s">
        <f>=-39.62</f>
      </c>
      <c r="AP12" s="0" t="s">
        <v>92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248</v>
      </c>
      <c r="G13" s="0"/>
      <c r="H13" s="0"/>
      <c r="I13" s="0"/>
      <c r="J13" s="11" t="n">
        <v>45371</v>
      </c>
      <c r="K13" s="6" t="n">
        <v>145.5</v>
      </c>
      <c r="L13" s="0" t="s">
        <v>248</v>
      </c>
      <c r="M13" s="0"/>
      <c r="N13" s="8" t="s">
        <f>=-SUM(N2:N11)</f>
      </c>
      <c r="O13" s="0" t="s">
        <v>251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251</v>
      </c>
      <c r="AB13" s="11" t="n">
        <v>45869</v>
      </c>
      <c r="AC13" s="6" t="s">
        <f>=-49.84</f>
      </c>
      <c r="AD13" s="0" t="s">
        <v>213</v>
      </c>
      <c r="AE13" s="0"/>
      <c r="AF13" s="0"/>
      <c r="AG13" s="0"/>
      <c r="AH13" s="0"/>
      <c r="AI13" s="10" t="s">
        <f>=XIRR(AI2:AI12,AH2:AH12)</f>
      </c>
      <c r="AJ13" s="0"/>
      <c r="AK13" s="11" t="n">
        <v>45565</v>
      </c>
      <c r="AL13" s="6" t="s">
        <f>=-96.98</f>
      </c>
      <c r="AM13" s="0" t="s">
        <v>180</v>
      </c>
      <c r="AN13" s="11" t="n">
        <v>45581</v>
      </c>
      <c r="AO13" s="6" t="s">
        <f>=-250</f>
      </c>
      <c r="AP13" s="0" t="s">
        <v>170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248</v>
      </c>
      <c r="G14" s="0"/>
      <c r="H14" s="0"/>
      <c r="I14" s="0"/>
      <c r="J14" s="11" t="n">
        <v>45385</v>
      </c>
      <c r="K14" s="6" t="n">
        <v>40.67</v>
      </c>
      <c r="L14" s="0" t="s">
        <v>248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45960</v>
      </c>
      <c r="AC14" s="6" t="s">
        <f>=-48.35</f>
      </c>
      <c r="AD14" s="0" t="s">
        <v>231</v>
      </c>
      <c r="AE14" s="0"/>
      <c r="AF14" s="0"/>
      <c r="AG14" s="0"/>
      <c r="AH14" s="0"/>
      <c r="AI14" s="8" t="s">
        <f>=-SUM(AI2:AI12)</f>
      </c>
      <c r="AJ14" s="0" t="s">
        <v>251</v>
      </c>
      <c r="AK14" s="11" t="n">
        <v>45566</v>
      </c>
      <c r="AL14" s="6" t="s">
        <f>=-10</f>
      </c>
      <c r="AM14" s="0" t="s">
        <v>182</v>
      </c>
      <c r="AN14" s="11" t="n">
        <v>45582</v>
      </c>
      <c r="AO14" s="6" t="s">
        <f>=-34.92</f>
      </c>
      <c r="AP14" s="0" t="s">
        <v>183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248</v>
      </c>
      <c r="G15" s="0"/>
      <c r="H15" s="0"/>
      <c r="I15" s="0"/>
      <c r="J15" s="11" t="n">
        <v>45393</v>
      </c>
      <c r="K15" s="6" t="n">
        <v>92.8</v>
      </c>
      <c r="L15" s="0" t="s">
        <v>248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46051</v>
      </c>
      <c r="AC15" s="6" t="s">
        <f>=-41.87</f>
      </c>
      <c r="AD15" s="0" t="s">
        <v>240</v>
      </c>
      <c r="AE15" s="0"/>
      <c r="AF15" s="0"/>
      <c r="AG15" s="0"/>
      <c r="AH15" s="0"/>
      <c r="AI15" s="0"/>
      <c r="AJ15" s="0"/>
      <c r="AK15" s="11" t="n">
        <v>45596</v>
      </c>
      <c r="AL15" s="6" t="s">
        <f>=-93.82</f>
      </c>
      <c r="AM15" s="0" t="s">
        <v>184</v>
      </c>
      <c r="AN15" s="11" t="n">
        <v>45672</v>
      </c>
      <c r="AO15" s="6" t="s">
        <f>=-250</f>
      </c>
      <c r="AP15" s="0" t="s">
        <v>170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248</v>
      </c>
      <c r="G16" s="0"/>
      <c r="H16" s="0"/>
      <c r="I16" s="0"/>
      <c r="J16" s="11" t="n">
        <v>45401</v>
      </c>
      <c r="K16" s="6" t="n">
        <v>64.13</v>
      </c>
      <c r="L16" s="0" t="s">
        <v>248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46078</v>
      </c>
      <c r="AC16" s="8" t="s">
        <f>=-Портфель!J13</f>
      </c>
      <c r="AD16" s="0" t="s">
        <v>249</v>
      </c>
      <c r="AE16" s="0"/>
      <c r="AF16" s="0"/>
      <c r="AG16" s="0"/>
      <c r="AH16" s="0"/>
      <c r="AI16" s="0"/>
      <c r="AJ16" s="0"/>
      <c r="AK16" s="11" t="n">
        <v>45597</v>
      </c>
      <c r="AL16" s="6" t="s">
        <f>=-9.7</f>
      </c>
      <c r="AM16" s="0" t="s">
        <v>185</v>
      </c>
      <c r="AN16" s="11" t="n">
        <v>45673</v>
      </c>
      <c r="AO16" s="6" t="s">
        <f>=-30.22</f>
      </c>
      <c r="AP16" s="0" t="s">
        <v>201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248</v>
      </c>
      <c r="G17" s="0"/>
      <c r="H17" s="0"/>
      <c r="I17" s="0"/>
      <c r="J17" s="11" t="n">
        <v>45428</v>
      </c>
      <c r="K17" s="6" t="n">
        <v>81.9</v>
      </c>
      <c r="L17" s="0" t="s">
        <v>248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11" t="n">
        <v>45626</v>
      </c>
      <c r="AL17" s="6" t="s">
        <f>=-91.04</f>
      </c>
      <c r="AM17" s="0" t="s">
        <v>190</v>
      </c>
      <c r="AN17" s="11" t="n">
        <v>45763</v>
      </c>
      <c r="AO17" s="6" t="s">
        <f>=-250</f>
      </c>
      <c r="AP17" s="0" t="s">
        <v>170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248</v>
      </c>
      <c r="G18" s="0"/>
      <c r="H18" s="0"/>
      <c r="I18" s="0"/>
      <c r="J18" s="11" t="n">
        <v>45443</v>
      </c>
      <c r="K18" s="6" t="n">
        <v>525.07</v>
      </c>
      <c r="L18" s="0" t="s">
        <v>248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8" t="s">
        <f>=-SUM(AC2:AC16)</f>
      </c>
      <c r="AD18" s="0" t="s">
        <v>251</v>
      </c>
      <c r="AE18" s="0"/>
      <c r="AF18" s="0"/>
      <c r="AG18" s="0"/>
      <c r="AH18" s="0"/>
      <c r="AI18" s="0"/>
      <c r="AJ18" s="0"/>
      <c r="AK18" s="11" t="n">
        <v>45627</v>
      </c>
      <c r="AL18" s="6" t="s">
        <f>=-8.74</f>
      </c>
      <c r="AM18" s="0" t="s">
        <v>191</v>
      </c>
      <c r="AN18" s="11" t="n">
        <v>45764</v>
      </c>
      <c r="AO18" s="6" t="s">
        <f>=-24.52</f>
      </c>
      <c r="AP18" s="0" t="s">
        <v>211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248</v>
      </c>
      <c r="G19" s="0"/>
      <c r="H19" s="0"/>
      <c r="I19" s="0"/>
      <c r="J19" s="11" t="n">
        <v>45448</v>
      </c>
      <c r="K19" s="6" t="n">
        <v>34.74</v>
      </c>
      <c r="L19" s="0" t="s">
        <v>248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45657</v>
      </c>
      <c r="AL19" s="6" t="s">
        <f>=-94.56</f>
      </c>
      <c r="AM19" s="0" t="s">
        <v>197</v>
      </c>
      <c r="AN19" s="11" t="n">
        <v>45854</v>
      </c>
      <c r="AO19" s="6" t="s">
        <f>=-250</f>
      </c>
      <c r="AP19" s="0" t="s">
        <v>170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248</v>
      </c>
      <c r="G20" s="0"/>
      <c r="H20" s="0"/>
      <c r="I20" s="0"/>
      <c r="J20" s="11" t="n">
        <v>45476</v>
      </c>
      <c r="K20" s="6" t="n">
        <v>5.82</v>
      </c>
      <c r="L20" s="0" t="s">
        <v>248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45658</v>
      </c>
      <c r="AL20" s="6" t="s">
        <f>=-8.46</f>
      </c>
      <c r="AM20" s="0" t="s">
        <v>198</v>
      </c>
      <c r="AN20" s="11" t="n">
        <v>45855</v>
      </c>
      <c r="AO20" s="6" t="s">
        <f>=-19.82</f>
      </c>
      <c r="AP20" s="0" t="s">
        <v>221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248</v>
      </c>
      <c r="G21" s="0"/>
      <c r="H21" s="0"/>
      <c r="I21" s="0"/>
      <c r="J21" s="11" t="n">
        <v>45488</v>
      </c>
      <c r="K21" s="6" t="n">
        <v>1100.1</v>
      </c>
      <c r="L21" s="0" t="s">
        <v>248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45688</v>
      </c>
      <c r="AL21" s="6" t="s">
        <f>=-85.14</f>
      </c>
      <c r="AM21" s="0" t="s">
        <v>203</v>
      </c>
      <c r="AN21" s="11" t="n">
        <v>45945</v>
      </c>
      <c r="AO21" s="6" t="s">
        <f>=-250</f>
      </c>
      <c r="AP21" s="0" t="s">
        <v>170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248</v>
      </c>
      <c r="G22" s="0"/>
      <c r="H22" s="0"/>
      <c r="I22" s="0"/>
      <c r="J22" s="11" t="n">
        <v>45488</v>
      </c>
      <c r="K22" s="6" t="n">
        <v>57.9</v>
      </c>
      <c r="L22" s="0" t="s">
        <v>248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45689</v>
      </c>
      <c r="AL22" s="6" t="s">
        <f>=-7.82</f>
      </c>
      <c r="AM22" s="0" t="s">
        <v>204</v>
      </c>
      <c r="AN22" s="11" t="n">
        <v>45946</v>
      </c>
      <c r="AO22" s="6" t="s">
        <f>=-15.1</f>
      </c>
      <c r="AP22" s="0" t="s">
        <v>230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248</v>
      </c>
      <c r="G23" s="0"/>
      <c r="H23" s="0"/>
      <c r="I23" s="0"/>
      <c r="J23" s="11" t="n">
        <v>45492</v>
      </c>
      <c r="K23" s="6" t="n">
        <v>296.31</v>
      </c>
      <c r="L23" s="0" t="s">
        <v>248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45716</v>
      </c>
      <c r="AL23" s="6" t="s">
        <f>=-78.14</f>
      </c>
      <c r="AM23" s="0" t="s">
        <v>205</v>
      </c>
      <c r="AN23" s="11" t="n">
        <v>46036</v>
      </c>
      <c r="AO23" s="6" t="s">
        <f>=-250</f>
      </c>
      <c r="AP23" s="0" t="s">
        <v>170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248</v>
      </c>
      <c r="G24" s="0"/>
      <c r="H24" s="0"/>
      <c r="I24" s="0"/>
      <c r="J24" s="11" t="n">
        <v>45506</v>
      </c>
      <c r="K24" s="6" t="n">
        <v>158.22</v>
      </c>
      <c r="L24" s="0" t="s">
        <v>248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45717</v>
      </c>
      <c r="AL24" s="6" t="s">
        <f>=-6.44</f>
      </c>
      <c r="AM24" s="0" t="s">
        <v>206</v>
      </c>
      <c r="AN24" s="11" t="n">
        <v>46037</v>
      </c>
      <c r="AO24" s="6" t="s">
        <f>=-10.4</f>
      </c>
      <c r="AP24" s="0" t="s">
        <v>239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248</v>
      </c>
      <c r="G25" s="0"/>
      <c r="H25" s="0"/>
      <c r="I25" s="0"/>
      <c r="J25" s="11" t="n">
        <v>45516</v>
      </c>
      <c r="K25" s="6" t="n">
        <v>29.55</v>
      </c>
      <c r="L25" s="0" t="s">
        <v>248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45747</v>
      </c>
      <c r="AL25" s="6" t="s">
        <f>=-73.12</f>
      </c>
      <c r="AM25" s="0" t="s">
        <v>209</v>
      </c>
      <c r="AN25" s="11" t="n">
        <v>46078</v>
      </c>
      <c r="AO25" s="8" t="s">
        <f>=-Портфель!J17</f>
      </c>
      <c r="AP25" s="0" t="s">
        <v>249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248</v>
      </c>
      <c r="G26" s="0"/>
      <c r="H26" s="0"/>
      <c r="I26" s="0"/>
      <c r="J26" s="11" t="n">
        <v>45517</v>
      </c>
      <c r="K26" s="6" t="n">
        <v>5.92</v>
      </c>
      <c r="L26" s="0" t="s">
        <v>248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45748</v>
      </c>
      <c r="AL26" s="6" t="s">
        <f>=-6.7</f>
      </c>
      <c r="AM26" s="0" t="s">
        <v>210</v>
      </c>
      <c r="AN26" s="0"/>
      <c r="AO26" s="10" t="s">
        <f>=XIRR(AO2:AO25,AN2:AN25)</f>
      </c>
      <c r="AP26" s="0"/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248</v>
      </c>
      <c r="G27" s="0"/>
      <c r="H27" s="0"/>
      <c r="I27" s="0"/>
      <c r="J27" s="11" t="n">
        <v>45519</v>
      </c>
      <c r="K27" s="6" t="n">
        <v>5.92</v>
      </c>
      <c r="L27" s="0" t="s">
        <v>248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45777</v>
      </c>
      <c r="AL27" s="6" t="s">
        <f>=-72.52</f>
      </c>
      <c r="AM27" s="0" t="s">
        <v>212</v>
      </c>
      <c r="AN27" s="0"/>
      <c r="AO27" s="8" t="s">
        <f>=-SUM(AO2:AO25)</f>
      </c>
      <c r="AP27" s="0" t="s">
        <v>251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248</v>
      </c>
      <c r="G28" s="0"/>
      <c r="H28" s="0"/>
      <c r="I28" s="0"/>
      <c r="J28" s="11" t="n">
        <v>45566</v>
      </c>
      <c r="K28" s="6" t="n">
        <v>796.96</v>
      </c>
      <c r="L28" s="0" t="s">
        <v>248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45778</v>
      </c>
      <c r="AL28" s="6" t="s">
        <f>=-5.98</f>
      </c>
      <c r="AM28" s="0" t="s">
        <v>214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248</v>
      </c>
      <c r="G29" s="0"/>
      <c r="H29" s="0"/>
      <c r="I29" s="0"/>
      <c r="J29" s="11" t="n">
        <v>45566</v>
      </c>
      <c r="K29" s="6" t="n">
        <v>23.44</v>
      </c>
      <c r="L29" s="0" t="s">
        <v>248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45808</v>
      </c>
      <c r="AL29" s="6" t="s">
        <f>=-69.92</f>
      </c>
      <c r="AM29" s="0" t="s">
        <v>216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248</v>
      </c>
      <c r="G30" s="0"/>
      <c r="H30" s="0"/>
      <c r="I30" s="0"/>
      <c r="J30" s="11" t="n">
        <v>45569</v>
      </c>
      <c r="K30" s="6" t="n">
        <v>11.74</v>
      </c>
      <c r="L30" s="0" t="s">
        <v>248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45809</v>
      </c>
      <c r="AL30" s="6" t="s">
        <f>=-5.72</f>
      </c>
      <c r="AM30" s="0" t="s">
        <v>217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248</v>
      </c>
      <c r="G31" s="0"/>
      <c r="H31" s="0"/>
      <c r="I31" s="0"/>
      <c r="J31" s="11" t="n">
        <v>45831</v>
      </c>
      <c r="K31" s="6" t="n">
        <v>-13.66</v>
      </c>
      <c r="L31" s="0" t="s">
        <v>250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45838</v>
      </c>
      <c r="AL31" s="6" t="s">
        <f>=-64.9</f>
      </c>
      <c r="AM31" s="0" t="s">
        <v>219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248</v>
      </c>
      <c r="G32" s="0"/>
      <c r="H32" s="0"/>
      <c r="I32" s="0"/>
      <c r="J32" s="11" t="n">
        <v>46078</v>
      </c>
      <c r="K32" s="8" t="s">
        <f>=-Портфель!J6</f>
      </c>
      <c r="L32" s="0" t="s">
        <v>249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45839</v>
      </c>
      <c r="AL32" s="6" t="s">
        <f>=-5.04</f>
      </c>
      <c r="AM32" s="0" t="s">
        <v>220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248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45869</v>
      </c>
      <c r="AL33" s="6" t="s">
        <f>=-65.6</f>
      </c>
      <c r="AM33" s="0" t="s">
        <v>222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248</v>
      </c>
      <c r="G34" s="0"/>
      <c r="H34" s="0"/>
      <c r="I34" s="0"/>
      <c r="J34" s="0"/>
      <c r="K34" s="8" t="s">
        <f>=-SUM(K2:K32)</f>
      </c>
      <c r="L34" s="0" t="s">
        <v>251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45870</v>
      </c>
      <c r="AL34" s="6" t="s">
        <f>=-4.8</f>
      </c>
      <c r="AM34" s="0" t="s">
        <v>223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5171.4</v>
      </c>
      <c r="F35" s="0" t="s">
        <v>248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45900</v>
      </c>
      <c r="AL35" s="6" t="s">
        <f>=-63.28</f>
      </c>
      <c r="AM35" s="0" t="s">
        <v>226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403.2</v>
      </c>
      <c r="F36" s="0" t="s">
        <v>248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45901</v>
      </c>
      <c r="AL36" s="6" t="s">
        <f>=-4.34</f>
      </c>
      <c r="AM36" s="0" t="s">
        <v>227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396</v>
      </c>
      <c r="F37" s="0" t="s">
        <v>248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45930</v>
      </c>
      <c r="AL37" s="6" t="s">
        <f>=-57.74</f>
      </c>
      <c r="AM37" s="0" t="s">
        <v>228</v>
      </c>
    </row>
    <row collapsed="false" customFormat="false" customHeight="false" hidden="false" ht="12.1" outlineLevel="0" r="38">
      <c r="A38" s="0"/>
      <c r="B38" s="0"/>
      <c r="C38" s="0"/>
      <c r="D38" s="11" t="n">
        <v>46078</v>
      </c>
      <c r="E38" s="8" t="s">
        <f>=-Портфель!J4</f>
      </c>
      <c r="F38" s="0" t="s">
        <v>249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45931</v>
      </c>
      <c r="AL38" s="6" t="s">
        <f>=-3.76</f>
      </c>
      <c r="AM38" s="0" t="s">
        <v>229</v>
      </c>
    </row>
    <row collapsed="false" customFormat="false" customHeight="false" hidden="false" ht="12.1" outlineLevel="0" r="39">
      <c r="A39" s="0"/>
      <c r="B39" s="0"/>
      <c r="C39" s="0"/>
      <c r="D39" s="0"/>
      <c r="E39" s="10" t="s">
        <f>=XIRR(E2:E38,D2:D38)</f>
      </c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45961</v>
      </c>
      <c r="AL39" s="6" t="s">
        <f>=-62.62</f>
      </c>
      <c r="AM39" s="0" t="s">
        <v>232</v>
      </c>
    </row>
    <row collapsed="false" customFormat="false" customHeight="false" hidden="false" ht="12.1" outlineLevel="0" r="40">
      <c r="A40" s="0"/>
      <c r="B40" s="0"/>
      <c r="C40" s="0"/>
      <c r="D40" s="0"/>
      <c r="E40" s="8" t="s">
        <f>=-SUM(E2:E38)</f>
      </c>
      <c r="F40" s="0" t="s">
        <v>251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45962</v>
      </c>
      <c r="AL40" s="6" t="s">
        <f>=-3.52</f>
      </c>
      <c r="AM40" s="0" t="s">
        <v>233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45991</v>
      </c>
      <c r="AL41" s="6" t="s">
        <f>=-59.96</f>
      </c>
      <c r="AM41" s="0" t="s">
        <v>234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45992</v>
      </c>
      <c r="AL42" s="6" t="s">
        <f>=-2.96</f>
      </c>
      <c r="AM42" s="0" t="s">
        <v>235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46022</v>
      </c>
      <c r="AL43" s="6" t="s">
        <f>=-57.36</f>
      </c>
      <c r="AM43" s="0" t="s">
        <v>237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11" t="n">
        <v>46023</v>
      </c>
      <c r="AL44" s="6" t="s">
        <f>=-3.7</f>
      </c>
      <c r="AM44" s="0" t="s">
        <v>238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11" t="n">
        <v>46053</v>
      </c>
      <c r="AL45" s="6" t="s">
        <f>=-63.66</f>
      </c>
      <c r="AM45" s="0" t="s">
        <v>241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11" t="n">
        <v>46054</v>
      </c>
      <c r="AL46" s="6" t="s">
        <f>=-3.3</f>
      </c>
      <c r="AM46" s="0" t="s">
        <v>242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" t="n">
        <v>46078</v>
      </c>
      <c r="AL47" s="8" t="s">
        <f>=-Портфель!J16</f>
      </c>
      <c r="AM47" s="0" t="s">
        <v>249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10" t="s">
        <f>=XIRR(AL2:AL47,AK2:AK47)</f>
      </c>
      <c r="AM48" s="0"/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8" t="s">
        <f>=-SUM(AL2:AL47)</f>
      </c>
      <c r="AM49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252</v>
      </c>
      <c r="C1" s="0"/>
      <c r="D1" s="0"/>
      <c r="E1" s="4" t="s">
        <v>253</v>
      </c>
      <c r="F1" s="0"/>
      <c r="G1" s="0"/>
      <c r="H1" s="4" t="s">
        <v>254</v>
      </c>
      <c r="I1" s="0"/>
      <c r="J1" s="0"/>
      <c r="K1" s="4" t="s">
        <v>255</v>
      </c>
      <c r="L1" s="0"/>
      <c r="M1" s="0"/>
      <c r="N1" s="4" t="s">
        <v>256</v>
      </c>
      <c r="O1" s="0"/>
      <c r="P1" s="0"/>
      <c r="Q1" s="4" t="s">
        <v>257</v>
      </c>
      <c r="R1" s="0"/>
      <c r="S1" s="0"/>
      <c r="T1" s="4" t="s">
        <v>258</v>
      </c>
      <c r="U1" s="0"/>
      <c r="V1" s="0"/>
      <c r="W1" s="4" t="s">
        <v>259</v>
      </c>
      <c r="X1" s="0"/>
      <c r="Y1" s="0"/>
      <c r="Z1" s="4" t="s">
        <v>260</v>
      </c>
      <c r="AA1" s="0"/>
      <c r="AB1" s="0"/>
      <c r="AC1" s="4" t="s">
        <v>261</v>
      </c>
      <c r="AD1" s="0"/>
      <c r="AE1" s="0"/>
      <c r="AF1" s="4" t="s">
        <v>262</v>
      </c>
      <c r="AG1" s="0"/>
      <c r="AH1" s="0"/>
      <c r="AI1" s="4" t="s">
        <v>263</v>
      </c>
      <c r="AJ1" s="0"/>
      <c r="AK1" s="0"/>
      <c r="AL1" s="4" t="s">
        <v>264</v>
      </c>
      <c r="AM1" s="0"/>
      <c r="AN1" s="0"/>
      <c r="AO1" s="4" t="s">
        <v>265</v>
      </c>
      <c r="AP1" s="0"/>
      <c r="AQ1" s="0"/>
      <c r="AR1" s="4" t="s">
        <v>266</v>
      </c>
      <c r="AS1" s="0"/>
      <c r="AT1" s="0"/>
      <c r="AU1" s="4" t="s">
        <v>267</v>
      </c>
      <c r="AV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248</v>
      </c>
      <c r="D2" s="11" t="n">
        <v>44602</v>
      </c>
      <c r="E2" s="6" t="n">
        <v>17779.58</v>
      </c>
      <c r="F2" s="0" t="s">
        <v>248</v>
      </c>
      <c r="G2" s="11" t="n">
        <v>44607</v>
      </c>
      <c r="H2" s="6" t="n">
        <v>6.05</v>
      </c>
      <c r="I2" s="0" t="s">
        <v>248</v>
      </c>
      <c r="J2" s="11" t="n">
        <v>44734</v>
      </c>
      <c r="K2" s="6" t="n">
        <v>960.81</v>
      </c>
      <c r="L2" s="0" t="s">
        <v>248</v>
      </c>
      <c r="M2" s="11" t="n">
        <v>44734</v>
      </c>
      <c r="N2" s="6" t="n">
        <v>1907.01</v>
      </c>
      <c r="O2" s="0" t="s">
        <v>248</v>
      </c>
      <c r="P2" s="11" t="n">
        <v>44734</v>
      </c>
      <c r="Q2" s="6" t="n">
        <v>1968.83</v>
      </c>
      <c r="R2" s="0" t="s">
        <v>248</v>
      </c>
      <c r="S2" s="11" t="n">
        <v>44734</v>
      </c>
      <c r="T2" s="6" t="n">
        <v>2085.71</v>
      </c>
      <c r="U2" s="0" t="s">
        <v>248</v>
      </c>
      <c r="V2" s="11" t="n">
        <v>44734</v>
      </c>
      <c r="W2" s="6" t="n">
        <v>978.54</v>
      </c>
      <c r="X2" s="0" t="s">
        <v>248</v>
      </c>
      <c r="Y2" s="11" t="n">
        <v>44743</v>
      </c>
      <c r="Z2" s="6" t="n">
        <v>1673.96</v>
      </c>
      <c r="AA2" s="0" t="s">
        <v>248</v>
      </c>
      <c r="AB2" s="11" t="n">
        <v>44743</v>
      </c>
      <c r="AC2" s="6" t="n">
        <v>2934.58</v>
      </c>
      <c r="AD2" s="0" t="s">
        <v>248</v>
      </c>
      <c r="AE2" s="11" t="n">
        <v>44743</v>
      </c>
      <c r="AF2" s="6" t="n">
        <v>282.72</v>
      </c>
      <c r="AG2" s="0" t="s">
        <v>248</v>
      </c>
      <c r="AH2" s="11" t="n">
        <v>44867</v>
      </c>
      <c r="AI2" s="6" t="n">
        <v>840.19</v>
      </c>
      <c r="AJ2" s="0" t="s">
        <v>248</v>
      </c>
      <c r="AK2" s="11" t="n">
        <v>44867</v>
      </c>
      <c r="AL2" s="6" t="n">
        <v>994.38</v>
      </c>
      <c r="AM2" s="0" t="s">
        <v>248</v>
      </c>
      <c r="AN2" s="11" t="n">
        <v>44998</v>
      </c>
      <c r="AO2" s="6" t="n">
        <v>353.25</v>
      </c>
      <c r="AP2" s="0" t="s">
        <v>248</v>
      </c>
      <c r="AQ2" s="11" t="n">
        <v>45079</v>
      </c>
      <c r="AR2" s="6" t="n">
        <v>2180.4</v>
      </c>
      <c r="AS2" s="0" t="s">
        <v>248</v>
      </c>
      <c r="AT2" s="11" t="n">
        <v>45132</v>
      </c>
      <c r="AU2" s="6" t="n">
        <v>2049.75</v>
      </c>
      <c r="AV2" s="0" t="s">
        <v>248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250</v>
      </c>
      <c r="D3" s="11" t="n">
        <v>44616</v>
      </c>
      <c r="E3" s="6" t="n">
        <v>333.48</v>
      </c>
      <c r="F3" s="0" t="s">
        <v>248</v>
      </c>
      <c r="G3" s="11" t="n">
        <v>45121</v>
      </c>
      <c r="H3" s="6" t="n">
        <v>-7.03</v>
      </c>
      <c r="I3" s="0" t="s">
        <v>250</v>
      </c>
      <c r="J3" s="11" t="n">
        <v>44734</v>
      </c>
      <c r="K3" s="6" t="n">
        <v>960.81</v>
      </c>
      <c r="L3" s="0" t="s">
        <v>248</v>
      </c>
      <c r="M3" s="11" t="n">
        <v>44804</v>
      </c>
      <c r="N3" s="6" t="n">
        <v>-37.64</v>
      </c>
      <c r="O3" s="0" t="s">
        <v>99</v>
      </c>
      <c r="P3" s="11" t="n">
        <v>44743</v>
      </c>
      <c r="Q3" s="6" t="n">
        <v>-36.38</v>
      </c>
      <c r="R3" s="0" t="s">
        <v>86</v>
      </c>
      <c r="S3" s="11" t="n">
        <v>44755</v>
      </c>
      <c r="T3" s="6" t="n">
        <v>-82.74</v>
      </c>
      <c r="U3" s="0" t="s">
        <v>89</v>
      </c>
      <c r="V3" s="11" t="n">
        <v>44901</v>
      </c>
      <c r="W3" s="6" t="n">
        <v>-36.14</v>
      </c>
      <c r="X3" s="0" t="s">
        <v>107</v>
      </c>
      <c r="Y3" s="11" t="n">
        <v>44819</v>
      </c>
      <c r="Z3" s="6" t="n">
        <v>-35.38</v>
      </c>
      <c r="AA3" s="0" t="s">
        <v>102</v>
      </c>
      <c r="AB3" s="11" t="n">
        <v>44791</v>
      </c>
      <c r="AC3" s="6" t="n">
        <v>-117.39</v>
      </c>
      <c r="AD3" s="0" t="s">
        <v>96</v>
      </c>
      <c r="AE3" s="11" t="n">
        <v>44803</v>
      </c>
      <c r="AF3" s="6" t="n">
        <v>-294.93</v>
      </c>
      <c r="AG3" s="0" t="s">
        <v>250</v>
      </c>
      <c r="AH3" s="11" t="n">
        <v>44908</v>
      </c>
      <c r="AI3" s="6" t="n">
        <v>-29.66</v>
      </c>
      <c r="AJ3" s="0" t="s">
        <v>112</v>
      </c>
      <c r="AK3" s="11" t="n">
        <v>44903</v>
      </c>
      <c r="AL3" s="6" t="n">
        <v>-16.9</v>
      </c>
      <c r="AM3" s="0" t="s">
        <v>110</v>
      </c>
      <c r="AN3" s="11" t="n">
        <v>45317</v>
      </c>
      <c r="AO3" s="6" t="n">
        <v>-8.84</v>
      </c>
      <c r="AP3" s="0" t="s">
        <v>146</v>
      </c>
      <c r="AQ3" s="11" t="n">
        <v>45118</v>
      </c>
      <c r="AR3" s="6" t="n">
        <v>-77.76</v>
      </c>
      <c r="AS3" s="0" t="s">
        <v>130</v>
      </c>
      <c r="AT3" s="11" t="n">
        <v>45152</v>
      </c>
      <c r="AU3" s="6" t="n">
        <v>-18.36</v>
      </c>
      <c r="AV3" s="0" t="s">
        <v>133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250</v>
      </c>
      <c r="G4" s="11" t="n">
        <v>45215</v>
      </c>
      <c r="H4" s="6" t="n">
        <v>368.5</v>
      </c>
      <c r="I4" s="0" t="s">
        <v>248</v>
      </c>
      <c r="J4" s="11" t="n">
        <v>44803</v>
      </c>
      <c r="K4" s="6" t="n">
        <v>-34.14</v>
      </c>
      <c r="L4" s="0" t="s">
        <v>98</v>
      </c>
      <c r="M4" s="11" t="n">
        <v>44895</v>
      </c>
      <c r="N4" s="6" t="n">
        <v>-37.64</v>
      </c>
      <c r="O4" s="0" t="s">
        <v>99</v>
      </c>
      <c r="P4" s="11" t="n">
        <v>44834</v>
      </c>
      <c r="Q4" s="6" t="n">
        <v>-36.38</v>
      </c>
      <c r="R4" s="0" t="s">
        <v>86</v>
      </c>
      <c r="S4" s="11" t="n">
        <v>44754</v>
      </c>
      <c r="T4" s="6" t="n">
        <v>-500</v>
      </c>
      <c r="U4" s="0" t="s">
        <v>88</v>
      </c>
      <c r="V4" s="11" t="n">
        <v>44900</v>
      </c>
      <c r="W4" s="6" t="n">
        <v>-250</v>
      </c>
      <c r="X4" s="0" t="s">
        <v>106</v>
      </c>
      <c r="Y4" s="11" t="n">
        <v>44910</v>
      </c>
      <c r="Z4" s="6" t="n">
        <v>-35.38</v>
      </c>
      <c r="AA4" s="0" t="s">
        <v>102</v>
      </c>
      <c r="AB4" s="11" t="n">
        <v>44973</v>
      </c>
      <c r="AC4" s="6" t="n">
        <v>-117.39</v>
      </c>
      <c r="AD4" s="0" t="s">
        <v>96</v>
      </c>
      <c r="AE4" s="11" t="n">
        <v>44974</v>
      </c>
      <c r="AF4" s="6" t="n">
        <v>95.63</v>
      </c>
      <c r="AG4" s="0" t="s">
        <v>248</v>
      </c>
      <c r="AH4" s="11" t="n">
        <v>45090</v>
      </c>
      <c r="AI4" s="6" t="n">
        <v>-29.66</v>
      </c>
      <c r="AJ4" s="0" t="s">
        <v>112</v>
      </c>
      <c r="AK4" s="11" t="n">
        <v>44994</v>
      </c>
      <c r="AL4" s="6" t="n">
        <v>-16.9</v>
      </c>
      <c r="AM4" s="0" t="s">
        <v>110</v>
      </c>
      <c r="AN4" s="11" t="n">
        <v>45639</v>
      </c>
      <c r="AO4" s="6" t="n">
        <v>-30.31</v>
      </c>
      <c r="AP4" s="0" t="s">
        <v>195</v>
      </c>
      <c r="AQ4" s="11" t="n">
        <v>45209</v>
      </c>
      <c r="AR4" s="6" t="n">
        <v>-77.76</v>
      </c>
      <c r="AS4" s="0" t="s">
        <v>130</v>
      </c>
      <c r="AT4" s="11" t="n">
        <v>45182</v>
      </c>
      <c r="AU4" s="6" t="n">
        <v>-18.36</v>
      </c>
      <c r="AV4" s="0" t="s">
        <v>133</v>
      </c>
    </row>
    <row collapsed="false" customFormat="false" customHeight="false" hidden="false" ht="12.1" outlineLevel="0" r="5">
      <c r="A5" s="0"/>
      <c r="B5" s="8" t="s">
        <f>=-SUM(B2:B3)</f>
      </c>
      <c r="C5" s="0" t="s">
        <v>251</v>
      </c>
      <c r="D5" s="11" t="n">
        <v>44974</v>
      </c>
      <c r="E5" s="6" t="n">
        <v>1.23</v>
      </c>
      <c r="F5" s="0" t="s">
        <v>248</v>
      </c>
      <c r="G5" s="11" t="n">
        <v>45342</v>
      </c>
      <c r="H5" s="6" t="n">
        <v>-225.6</v>
      </c>
      <c r="I5" s="0" t="s">
        <v>250</v>
      </c>
      <c r="J5" s="11" t="n">
        <v>44894</v>
      </c>
      <c r="K5" s="6" t="n">
        <v>-34.14</v>
      </c>
      <c r="L5" s="0" t="s">
        <v>98</v>
      </c>
      <c r="M5" s="11" t="n">
        <v>44986</v>
      </c>
      <c r="N5" s="6" t="n">
        <v>-37.64</v>
      </c>
      <c r="O5" s="0" t="s">
        <v>99</v>
      </c>
      <c r="P5" s="11" t="n">
        <v>44833</v>
      </c>
      <c r="Q5" s="6" t="n">
        <v>-400</v>
      </c>
      <c r="R5" s="0" t="s">
        <v>104</v>
      </c>
      <c r="S5" s="11" t="n">
        <v>44937</v>
      </c>
      <c r="T5" s="6" t="n">
        <v>-62.06</v>
      </c>
      <c r="U5" s="0" t="s">
        <v>117</v>
      </c>
      <c r="V5" s="11" t="n">
        <v>45083</v>
      </c>
      <c r="W5" s="6" t="n">
        <v>-26.85</v>
      </c>
      <c r="X5" s="0" t="s">
        <v>126</v>
      </c>
      <c r="Y5" s="11" t="n">
        <v>45001</v>
      </c>
      <c r="Z5" s="6" t="n">
        <v>-35.38</v>
      </c>
      <c r="AA5" s="0" t="s">
        <v>102</v>
      </c>
      <c r="AB5" s="11" t="n">
        <v>45155</v>
      </c>
      <c r="AC5" s="6" t="n">
        <v>-117.39</v>
      </c>
      <c r="AD5" s="0" t="s">
        <v>96</v>
      </c>
      <c r="AE5" s="11" t="n">
        <v>44974</v>
      </c>
      <c r="AF5" s="6" t="n">
        <v>108.84</v>
      </c>
      <c r="AG5" s="0" t="s">
        <v>248</v>
      </c>
      <c r="AH5" s="11" t="n">
        <v>45272</v>
      </c>
      <c r="AI5" s="6" t="n">
        <v>-29.66</v>
      </c>
      <c r="AJ5" s="0" t="s">
        <v>112</v>
      </c>
      <c r="AK5" s="11" t="n">
        <v>45085</v>
      </c>
      <c r="AL5" s="6" t="n">
        <v>-16.9</v>
      </c>
      <c r="AM5" s="0" t="s">
        <v>110</v>
      </c>
      <c r="AN5" s="11" t="n">
        <v>45840</v>
      </c>
      <c r="AO5" s="6" t="n">
        <v>-150.81</v>
      </c>
      <c r="AP5" s="0" t="s">
        <v>250</v>
      </c>
      <c r="AQ5" s="11" t="n">
        <v>45300</v>
      </c>
      <c r="AR5" s="6" t="n">
        <v>-77.76</v>
      </c>
      <c r="AS5" s="0" t="s">
        <v>130</v>
      </c>
      <c r="AT5" s="11" t="n">
        <v>45212</v>
      </c>
      <c r="AU5" s="6" t="n">
        <v>-18.36</v>
      </c>
      <c r="AV5" s="0" t="s">
        <v>133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248</v>
      </c>
      <c r="G6" s="11" t="n">
        <v>45517</v>
      </c>
      <c r="H6" s="6" t="n">
        <v>-53.69</v>
      </c>
      <c r="I6" s="0" t="s">
        <v>250</v>
      </c>
      <c r="J6" s="11" t="n">
        <v>44985</v>
      </c>
      <c r="K6" s="6" t="n">
        <v>-34.14</v>
      </c>
      <c r="L6" s="0" t="s">
        <v>98</v>
      </c>
      <c r="M6" s="11" t="n">
        <v>44985</v>
      </c>
      <c r="N6" s="6" t="n">
        <v>-250</v>
      </c>
      <c r="O6" s="0" t="s">
        <v>121</v>
      </c>
      <c r="P6" s="11" t="n">
        <v>44925</v>
      </c>
      <c r="Q6" s="6" t="n">
        <v>-29.9</v>
      </c>
      <c r="R6" s="0" t="s">
        <v>116</v>
      </c>
      <c r="S6" s="11" t="n">
        <v>45119</v>
      </c>
      <c r="T6" s="6" t="n">
        <v>-62.06</v>
      </c>
      <c r="U6" s="0" t="s">
        <v>117</v>
      </c>
      <c r="V6" s="11" t="n">
        <v>45265</v>
      </c>
      <c r="W6" s="6" t="n">
        <v>-26.85</v>
      </c>
      <c r="X6" s="0" t="s">
        <v>126</v>
      </c>
      <c r="Y6" s="11" t="n">
        <v>45092</v>
      </c>
      <c r="Z6" s="6" t="n">
        <v>-35.38</v>
      </c>
      <c r="AA6" s="0" t="s">
        <v>102</v>
      </c>
      <c r="AB6" s="11" t="n">
        <v>45337</v>
      </c>
      <c r="AC6" s="6" t="n">
        <v>-117.39</v>
      </c>
      <c r="AD6" s="0" t="s">
        <v>96</v>
      </c>
      <c r="AE6" s="11" t="n">
        <v>45005</v>
      </c>
      <c r="AF6" s="6" t="n">
        <v>-220.5</v>
      </c>
      <c r="AG6" s="0" t="s">
        <v>250</v>
      </c>
      <c r="AH6" s="11" t="n">
        <v>45271</v>
      </c>
      <c r="AI6" s="6" t="n">
        <v>-1000</v>
      </c>
      <c r="AJ6" s="0" t="s">
        <v>141</v>
      </c>
      <c r="AK6" s="11" t="n">
        <v>45176</v>
      </c>
      <c r="AL6" s="6" t="n">
        <v>-16.9</v>
      </c>
      <c r="AM6" s="0" t="s">
        <v>110</v>
      </c>
      <c r="AN6" s="0"/>
      <c r="AO6" s="10" t="s">
        <f>=XIRR(AO2:AO5,AN2:AN5)</f>
      </c>
      <c r="AP6" s="0"/>
      <c r="AQ6" s="11" t="n">
        <v>45391</v>
      </c>
      <c r="AR6" s="6" t="n">
        <v>-77.76</v>
      </c>
      <c r="AS6" s="0" t="s">
        <v>130</v>
      </c>
      <c r="AT6" s="11" t="n">
        <v>45242</v>
      </c>
      <c r="AU6" s="6" t="n">
        <v>-18.36</v>
      </c>
      <c r="AV6" s="0" t="s">
        <v>133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248</v>
      </c>
      <c r="G7" s="11" t="n">
        <v>45769</v>
      </c>
      <c r="H7" s="6" t="n">
        <v>-114.79</v>
      </c>
      <c r="I7" s="0" t="s">
        <v>250</v>
      </c>
      <c r="J7" s="11" t="n">
        <v>44984</v>
      </c>
      <c r="K7" s="6" t="n">
        <v>-250</v>
      </c>
      <c r="L7" s="0" t="s">
        <v>120</v>
      </c>
      <c r="M7" s="11" t="n">
        <v>45077</v>
      </c>
      <c r="N7" s="6" t="n">
        <v>-33.18</v>
      </c>
      <c r="O7" s="0" t="s">
        <v>125</v>
      </c>
      <c r="P7" s="11" t="n">
        <v>45016</v>
      </c>
      <c r="Q7" s="6" t="n">
        <v>-29.9</v>
      </c>
      <c r="R7" s="0" t="s">
        <v>116</v>
      </c>
      <c r="S7" s="11" t="n">
        <v>45118</v>
      </c>
      <c r="T7" s="6" t="n">
        <v>-500</v>
      </c>
      <c r="U7" s="0" t="s">
        <v>88</v>
      </c>
      <c r="V7" s="11" t="n">
        <v>45264</v>
      </c>
      <c r="W7" s="6" t="n">
        <v>-250</v>
      </c>
      <c r="X7" s="0" t="s">
        <v>106</v>
      </c>
      <c r="Y7" s="11" t="n">
        <v>45183</v>
      </c>
      <c r="Z7" s="6" t="n">
        <v>-35.38</v>
      </c>
      <c r="AA7" s="0" t="s">
        <v>102</v>
      </c>
      <c r="AB7" s="11" t="n">
        <v>45336</v>
      </c>
      <c r="AC7" s="6" t="n">
        <v>-3000</v>
      </c>
      <c r="AD7" s="0" t="s">
        <v>148</v>
      </c>
      <c r="AE7" s="11" t="n">
        <v>45229</v>
      </c>
      <c r="AF7" s="6" t="n">
        <v>12.88</v>
      </c>
      <c r="AG7" s="0" t="s">
        <v>248</v>
      </c>
      <c r="AH7" s="0"/>
      <c r="AI7" s="10" t="s">
        <f>=XIRR(AI2:AI6,AH2:AH6)</f>
      </c>
      <c r="AJ7" s="0"/>
      <c r="AK7" s="11" t="n">
        <v>45267</v>
      </c>
      <c r="AL7" s="6" t="n">
        <v>-30.41</v>
      </c>
      <c r="AM7" s="0" t="s">
        <v>140</v>
      </c>
      <c r="AN7" s="0"/>
      <c r="AO7" s="8" t="s">
        <f>=-SUM(AO2:AO5)</f>
      </c>
      <c r="AP7" s="0" t="s">
        <v>251</v>
      </c>
      <c r="AQ7" s="11" t="n">
        <v>45482</v>
      </c>
      <c r="AR7" s="6" t="n">
        <v>-77.76</v>
      </c>
      <c r="AS7" s="0" t="s">
        <v>130</v>
      </c>
      <c r="AT7" s="11" t="n">
        <v>45272</v>
      </c>
      <c r="AU7" s="6" t="n">
        <v>-18.36</v>
      </c>
      <c r="AV7" s="0" t="s">
        <v>133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248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124</v>
      </c>
      <c r="M8" s="11" t="n">
        <v>45076</v>
      </c>
      <c r="N8" s="6" t="n">
        <v>-250</v>
      </c>
      <c r="O8" s="0" t="s">
        <v>121</v>
      </c>
      <c r="P8" s="11" t="n">
        <v>45107</v>
      </c>
      <c r="Q8" s="6" t="n">
        <v>-29.9</v>
      </c>
      <c r="R8" s="0" t="s">
        <v>116</v>
      </c>
      <c r="S8" s="11" t="n">
        <v>45301</v>
      </c>
      <c r="T8" s="6" t="n">
        <v>-41.36</v>
      </c>
      <c r="U8" s="0" t="s">
        <v>145</v>
      </c>
      <c r="V8" s="11" t="n">
        <v>45447</v>
      </c>
      <c r="W8" s="6" t="n">
        <v>-17.57</v>
      </c>
      <c r="X8" s="0" t="s">
        <v>162</v>
      </c>
      <c r="Y8" s="11" t="n">
        <v>45274</v>
      </c>
      <c r="Z8" s="6" t="n">
        <v>-35.38</v>
      </c>
      <c r="AA8" s="0" t="s">
        <v>102</v>
      </c>
      <c r="AB8" s="0"/>
      <c r="AC8" s="10" t="s">
        <f>=XIRR(AC2:AC7,AB2:AB7)</f>
      </c>
      <c r="AD8" s="0"/>
      <c r="AE8" s="11" t="n">
        <v>45275</v>
      </c>
      <c r="AF8" s="6" t="n">
        <v>355.2</v>
      </c>
      <c r="AG8" s="0" t="s">
        <v>248</v>
      </c>
      <c r="AH8" s="0"/>
      <c r="AI8" s="8" t="s">
        <f>=-SUM(AI2:AI6)</f>
      </c>
      <c r="AJ8" s="0" t="s">
        <v>251</v>
      </c>
      <c r="AK8" s="11" t="n">
        <v>45358</v>
      </c>
      <c r="AL8" s="6" t="n">
        <v>-30.41</v>
      </c>
      <c r="AM8" s="0" t="s">
        <v>140</v>
      </c>
      <c r="AN8" s="0"/>
      <c r="AO8" s="0"/>
      <c r="AP8" s="0"/>
      <c r="AQ8" s="11" t="n">
        <v>45573</v>
      </c>
      <c r="AR8" s="6" t="n">
        <v>-77.76</v>
      </c>
      <c r="AS8" s="0" t="s">
        <v>130</v>
      </c>
      <c r="AT8" s="11" t="n">
        <v>45302</v>
      </c>
      <c r="AU8" s="6" t="n">
        <v>-18.36</v>
      </c>
      <c r="AV8" s="0" t="s">
        <v>133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248</v>
      </c>
      <c r="G9" s="0"/>
      <c r="H9" s="8" t="s">
        <f>=-SUM(H2:H7)</f>
      </c>
      <c r="I9" s="0" t="s">
        <v>251</v>
      </c>
      <c r="J9" s="11" t="n">
        <v>45075</v>
      </c>
      <c r="K9" s="6" t="n">
        <v>-250</v>
      </c>
      <c r="L9" s="0" t="s">
        <v>120</v>
      </c>
      <c r="M9" s="11" t="n">
        <v>45168</v>
      </c>
      <c r="N9" s="6" t="n">
        <v>-28.72</v>
      </c>
      <c r="O9" s="0" t="s">
        <v>136</v>
      </c>
      <c r="P9" s="11" t="n">
        <v>45198</v>
      </c>
      <c r="Q9" s="6" t="n">
        <v>-29.9</v>
      </c>
      <c r="R9" s="0" t="s">
        <v>116</v>
      </c>
      <c r="S9" s="11" t="n">
        <v>45483</v>
      </c>
      <c r="T9" s="6" t="n">
        <v>-41.36</v>
      </c>
      <c r="U9" s="0" t="s">
        <v>145</v>
      </c>
      <c r="V9" s="11" t="n">
        <v>45629</v>
      </c>
      <c r="W9" s="6" t="n">
        <v>-17.57</v>
      </c>
      <c r="X9" s="0" t="s">
        <v>162</v>
      </c>
      <c r="Y9" s="11" t="n">
        <v>45365</v>
      </c>
      <c r="Z9" s="6" t="n">
        <v>-35.38</v>
      </c>
      <c r="AA9" s="0" t="s">
        <v>102</v>
      </c>
      <c r="AB9" s="0"/>
      <c r="AC9" s="8" t="s">
        <f>=-SUM(AC2:AC7)</f>
      </c>
      <c r="AD9" s="0" t="s">
        <v>251</v>
      </c>
      <c r="AE9" s="11" t="n">
        <v>45275</v>
      </c>
      <c r="AF9" s="6" t="n">
        <v>-368.9</v>
      </c>
      <c r="AG9" s="0" t="s">
        <v>250</v>
      </c>
      <c r="AH9" s="0"/>
      <c r="AI9" s="0"/>
      <c r="AJ9" s="0"/>
      <c r="AK9" s="11" t="n">
        <v>45449</v>
      </c>
      <c r="AL9" s="6" t="n">
        <v>-30.41</v>
      </c>
      <c r="AM9" s="0" t="s">
        <v>140</v>
      </c>
      <c r="AN9" s="0"/>
      <c r="AO9" s="0"/>
      <c r="AP9" s="0"/>
      <c r="AQ9" s="11" t="n">
        <v>45664</v>
      </c>
      <c r="AR9" s="6" t="n">
        <v>-77.76</v>
      </c>
      <c r="AS9" s="0" t="s">
        <v>130</v>
      </c>
      <c r="AT9" s="11" t="n">
        <v>45332</v>
      </c>
      <c r="AU9" s="6" t="n">
        <v>-18.36</v>
      </c>
      <c r="AV9" s="0" t="s">
        <v>133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250</v>
      </c>
      <c r="G10" s="0"/>
      <c r="H10" s="0"/>
      <c r="I10" s="0"/>
      <c r="J10" s="11" t="n">
        <v>45167</v>
      </c>
      <c r="K10" s="6" t="n">
        <v>-25.36</v>
      </c>
      <c r="L10" s="0" t="s">
        <v>135</v>
      </c>
      <c r="M10" s="11" t="n">
        <v>45167</v>
      </c>
      <c r="N10" s="6" t="n">
        <v>-250</v>
      </c>
      <c r="O10" s="0" t="s">
        <v>121</v>
      </c>
      <c r="P10" s="11" t="n">
        <v>45197</v>
      </c>
      <c r="Q10" s="6" t="n">
        <v>-800</v>
      </c>
      <c r="R10" s="0" t="s">
        <v>137</v>
      </c>
      <c r="S10" s="11" t="n">
        <v>45482</v>
      </c>
      <c r="T10" s="6" t="n">
        <v>-1000</v>
      </c>
      <c r="U10" s="0" t="s">
        <v>168</v>
      </c>
      <c r="V10" s="11" t="n">
        <v>45628</v>
      </c>
      <c r="W10" s="6" t="n">
        <v>-500</v>
      </c>
      <c r="X10" s="0" t="s">
        <v>192</v>
      </c>
      <c r="Y10" s="11" t="n">
        <v>45456</v>
      </c>
      <c r="Z10" s="6" t="n">
        <v>-35.38</v>
      </c>
      <c r="AA10" s="0" t="s">
        <v>102</v>
      </c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45540</v>
      </c>
      <c r="AL10" s="6" t="n">
        <v>-30.41</v>
      </c>
      <c r="AM10" s="0" t="s">
        <v>140</v>
      </c>
      <c r="AN10" s="0"/>
      <c r="AO10" s="0"/>
      <c r="AP10" s="0"/>
      <c r="AQ10" s="11" t="n">
        <v>45663</v>
      </c>
      <c r="AR10" s="6" t="n">
        <v>-2000</v>
      </c>
      <c r="AS10" s="0" t="s">
        <v>199</v>
      </c>
      <c r="AT10" s="11" t="n">
        <v>45362</v>
      </c>
      <c r="AU10" s="6" t="n">
        <v>-18.36</v>
      </c>
      <c r="AV10" s="0" t="s">
        <v>133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120</v>
      </c>
      <c r="M11" s="11" t="n">
        <v>45259</v>
      </c>
      <c r="N11" s="6" t="n">
        <v>-23.26</v>
      </c>
      <c r="O11" s="0" t="s">
        <v>139</v>
      </c>
      <c r="P11" s="11" t="n">
        <v>45289</v>
      </c>
      <c r="Q11" s="6" t="n">
        <v>-14.96</v>
      </c>
      <c r="R11" s="0" t="s">
        <v>144</v>
      </c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45455</v>
      </c>
      <c r="Z11" s="6" t="n">
        <v>-2000</v>
      </c>
      <c r="AA11" s="0" t="s">
        <v>163</v>
      </c>
      <c r="AB11" s="0"/>
      <c r="AC11" s="0"/>
      <c r="AD11" s="0"/>
      <c r="AE11" s="0"/>
      <c r="AF11" s="8" t="s">
        <f>=-SUM(AF2:AF9)</f>
      </c>
      <c r="AG11" s="0" t="s">
        <v>251</v>
      </c>
      <c r="AH11" s="0"/>
      <c r="AI11" s="0"/>
      <c r="AJ11" s="0"/>
      <c r="AK11" s="11" t="n">
        <v>45631</v>
      </c>
      <c r="AL11" s="6" t="n">
        <v>-30.41</v>
      </c>
      <c r="AM11" s="0" t="s">
        <v>140</v>
      </c>
      <c r="AN11" s="0"/>
      <c r="AO11" s="0"/>
      <c r="AP11" s="0"/>
      <c r="AQ11" s="0"/>
      <c r="AR11" s="10" t="s">
        <f>=XIRR(AR2:AR10,AQ2:AQ10)</f>
      </c>
      <c r="AS11" s="0"/>
      <c r="AT11" s="11" t="n">
        <v>45392</v>
      </c>
      <c r="AU11" s="6" t="n">
        <v>-18.36</v>
      </c>
      <c r="AV11" s="0" t="s">
        <v>133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251</v>
      </c>
      <c r="G12" s="0"/>
      <c r="H12" s="0"/>
      <c r="I12" s="0"/>
      <c r="J12" s="11" t="n">
        <v>45258</v>
      </c>
      <c r="K12" s="6" t="n">
        <v>-21.46</v>
      </c>
      <c r="L12" s="0" t="s">
        <v>138</v>
      </c>
      <c r="M12" s="11" t="n">
        <v>45258</v>
      </c>
      <c r="N12" s="6" t="n">
        <v>-250</v>
      </c>
      <c r="O12" s="0" t="s">
        <v>121</v>
      </c>
      <c r="P12" s="11" t="n">
        <v>45380</v>
      </c>
      <c r="Q12" s="6" t="n">
        <v>-14.96</v>
      </c>
      <c r="R12" s="0" t="s">
        <v>144</v>
      </c>
      <c r="S12" s="0"/>
      <c r="T12" s="8" t="s">
        <f>=-SUM(T2:T10)</f>
      </c>
      <c r="U12" s="0" t="s">
        <v>251</v>
      </c>
      <c r="V12" s="0"/>
      <c r="W12" s="8" t="s">
        <f>=-SUM(W2:W10)</f>
      </c>
      <c r="X12" s="0" t="s">
        <v>251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45722</v>
      </c>
      <c r="AL12" s="6" t="n">
        <v>-30.41</v>
      </c>
      <c r="AM12" s="0" t="s">
        <v>140</v>
      </c>
      <c r="AN12" s="0"/>
      <c r="AO12" s="0"/>
      <c r="AP12" s="0"/>
      <c r="AQ12" s="0"/>
      <c r="AR12" s="8" t="s">
        <f>=-SUM(AR2:AR10)</f>
      </c>
      <c r="AS12" s="0" t="s">
        <v>251</v>
      </c>
      <c r="AT12" s="11" t="n">
        <v>45422</v>
      </c>
      <c r="AU12" s="6" t="n">
        <v>-18.36</v>
      </c>
      <c r="AV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120</v>
      </c>
      <c r="M13" s="11" t="n">
        <v>45350</v>
      </c>
      <c r="N13" s="6" t="n">
        <v>-18.82</v>
      </c>
      <c r="O13" s="0" t="s">
        <v>153</v>
      </c>
      <c r="P13" s="11" t="n">
        <v>45471</v>
      </c>
      <c r="Q13" s="6" t="n">
        <v>-14.96</v>
      </c>
      <c r="R13" s="0" t="s">
        <v>144</v>
      </c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251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45721</v>
      </c>
      <c r="AL13" s="6" t="n">
        <v>-1000</v>
      </c>
      <c r="AM13" s="0" t="s">
        <v>207</v>
      </c>
      <c r="AN13" s="0"/>
      <c r="AO13" s="0"/>
      <c r="AP13" s="0"/>
      <c r="AQ13" s="0"/>
      <c r="AR13" s="0"/>
      <c r="AS13" s="0"/>
      <c r="AT13" s="11" t="n">
        <v>45452</v>
      </c>
      <c r="AU13" s="6" t="n">
        <v>-18.36</v>
      </c>
      <c r="AV13" s="0" t="s">
        <v>133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151</v>
      </c>
      <c r="M14" s="11" t="n">
        <v>45349</v>
      </c>
      <c r="N14" s="6" t="n">
        <v>-250</v>
      </c>
      <c r="O14" s="0" t="s">
        <v>121</v>
      </c>
      <c r="P14" s="11" t="n">
        <v>45562</v>
      </c>
      <c r="Q14" s="6" t="n">
        <v>-14.96</v>
      </c>
      <c r="R14" s="0" t="s">
        <v>144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45482</v>
      </c>
      <c r="AU14" s="6" t="n">
        <v>-18.36</v>
      </c>
      <c r="AV14" s="0" t="s">
        <v>133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120</v>
      </c>
      <c r="M15" s="11" t="n">
        <v>45441</v>
      </c>
      <c r="N15" s="6" t="n">
        <v>-14.36</v>
      </c>
      <c r="O15" s="0" t="s">
        <v>161</v>
      </c>
      <c r="P15" s="11" t="n">
        <v>45561</v>
      </c>
      <c r="Q15" s="6" t="n">
        <v>-800</v>
      </c>
      <c r="R15" s="0" t="s">
        <v>137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251</v>
      </c>
      <c r="AN15" s="0"/>
      <c r="AO15" s="0"/>
      <c r="AP15" s="0"/>
      <c r="AQ15" s="0"/>
      <c r="AR15" s="0"/>
      <c r="AS15" s="0"/>
      <c r="AT15" s="11" t="n">
        <v>45512</v>
      </c>
      <c r="AU15" s="6" t="n">
        <v>-18.36</v>
      </c>
      <c r="AV15" s="0" t="s">
        <v>133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160</v>
      </c>
      <c r="M16" s="11" t="n">
        <v>45440</v>
      </c>
      <c r="N16" s="6" t="n">
        <v>-250</v>
      </c>
      <c r="O16" s="0" t="s">
        <v>121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45542</v>
      </c>
      <c r="AU16" s="6" t="n">
        <v>-18.36</v>
      </c>
      <c r="AV16" s="0" t="s">
        <v>133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120</v>
      </c>
      <c r="M17" s="11" t="n">
        <v>45532</v>
      </c>
      <c r="N17" s="6" t="n">
        <v>-9.9</v>
      </c>
      <c r="O17" s="0" t="s">
        <v>177</v>
      </c>
      <c r="P17" s="0"/>
      <c r="Q17" s="8" t="s">
        <f>=-SUM(Q2:Q15)</f>
      </c>
      <c r="R17" s="0" t="s">
        <v>251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45572</v>
      </c>
      <c r="AU17" s="6" t="n">
        <v>-18.36</v>
      </c>
      <c r="AV17" s="0" t="s">
        <v>133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176</v>
      </c>
      <c r="M18" s="11" t="n">
        <v>45531</v>
      </c>
      <c r="N18" s="6" t="n">
        <v>-250</v>
      </c>
      <c r="O18" s="0" t="s">
        <v>121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45602</v>
      </c>
      <c r="AU18" s="6" t="n">
        <v>-18.36</v>
      </c>
      <c r="AV18" s="0" t="s">
        <v>133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120</v>
      </c>
      <c r="M19" s="11" t="n">
        <v>45623</v>
      </c>
      <c r="N19" s="6" t="n">
        <v>-4.46</v>
      </c>
      <c r="O19" s="0" t="s">
        <v>187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45632</v>
      </c>
      <c r="AU19" s="6" t="n">
        <v>-18.36</v>
      </c>
      <c r="AV19" s="0" t="s">
        <v>133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186</v>
      </c>
      <c r="M20" s="11" t="n">
        <v>45622</v>
      </c>
      <c r="N20" s="6" t="n">
        <v>-250</v>
      </c>
      <c r="O20" s="0" t="s">
        <v>121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45662</v>
      </c>
      <c r="AU20" s="6" t="n">
        <v>-18.36</v>
      </c>
      <c r="AV20" s="0" t="s">
        <v>133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120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45692</v>
      </c>
      <c r="AU21" s="6" t="n">
        <v>-18.36</v>
      </c>
      <c r="AV21" s="0" t="s">
        <v>133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251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45722</v>
      </c>
      <c r="AU22" s="6" t="n">
        <v>-18.36</v>
      </c>
      <c r="AV22" s="0" t="s">
        <v>133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251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45752</v>
      </c>
      <c r="AU23" s="6" t="n">
        <v>-18.36</v>
      </c>
      <c r="AV23" s="0" t="s">
        <v>133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45782</v>
      </c>
      <c r="AU24" s="6" t="n">
        <v>-18.36</v>
      </c>
      <c r="AV24" s="0" t="s">
        <v>133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45781</v>
      </c>
      <c r="AU25" s="6" t="n">
        <v>-2000</v>
      </c>
      <c r="AV25" s="0" t="s">
        <v>215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10" t="s">
        <f>=XIRR(AU2:AU25,AT2:AT25)</f>
      </c>
      <c r="AV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8" t="s">
        <f>=-SUM(AU2:AU25)</f>
      </c>
      <c r="AV27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268</v>
      </c>
      <c r="C1" s="0"/>
      <c r="D1" s="0"/>
      <c r="E1" s="3" t="s">
        <v>269</v>
      </c>
      <c r="F1" s="0"/>
      <c r="G1" s="0"/>
      <c r="H1" s="3" t="s">
        <v>270</v>
      </c>
      <c r="I1" s="0"/>
      <c r="J1" s="0"/>
      <c r="K1" s="3" t="s">
        <v>271</v>
      </c>
      <c r="L1" s="0"/>
      <c r="M1" s="0"/>
      <c r="N1" s="3" t="s">
        <v>272</v>
      </c>
      <c r="O1" s="0"/>
      <c r="P1" s="0"/>
      <c r="Q1" s="3" t="s">
        <v>273</v>
      </c>
      <c r="R1" s="0"/>
      <c r="S1" s="0"/>
      <c r="T1" s="3" t="s">
        <v>274</v>
      </c>
      <c r="U1" s="0"/>
      <c r="V1" s="0"/>
      <c r="W1" s="3" t="s">
        <v>275</v>
      </c>
      <c r="X1" s="0"/>
      <c r="Y1" s="0"/>
      <c r="Z1" s="3" t="s">
        <v>276</v>
      </c>
      <c r="AA1" s="0"/>
      <c r="AB1" s="0"/>
      <c r="AC1" s="3" t="s">
        <v>277</v>
      </c>
      <c r="AD1" s="0"/>
      <c r="AE1" s="0"/>
      <c r="AF1" s="3" t="s">
        <v>278</v>
      </c>
      <c r="AG1" s="0"/>
      <c r="AH1" s="0"/>
      <c r="AI1" s="3" t="s">
        <v>279</v>
      </c>
      <c r="AJ1" s="0"/>
      <c r="AK1" s="0"/>
      <c r="AL1" s="3" t="s">
        <v>280</v>
      </c>
      <c r="AM1" s="0"/>
      <c r="AN1" s="0"/>
      <c r="AO1" s="3" t="s">
        <v>281</v>
      </c>
      <c r="AP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45999</v>
      </c>
      <c r="H2" s="6" t="n">
        <v>328</v>
      </c>
      <c r="I2" s="6" t="n">
        <v>48566.96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44931</v>
      </c>
      <c r="W2" s="6" t="n">
        <v>1</v>
      </c>
      <c r="X2" s="6" t="n">
        <v>937.04</v>
      </c>
      <c r="Y2" s="11" t="n">
        <v>44743</v>
      </c>
      <c r="Z2" s="6" t="n">
        <v>2</v>
      </c>
      <c r="AA2" s="6" t="n">
        <v>2083.66</v>
      </c>
      <c r="AB2" s="11" t="n">
        <v>44931</v>
      </c>
      <c r="AC2" s="6" t="n">
        <v>1</v>
      </c>
      <c r="AD2" s="6" t="n">
        <v>1030.61</v>
      </c>
      <c r="AE2" s="11" t="n">
        <v>45342</v>
      </c>
      <c r="AF2" s="6" t="n">
        <v>1</v>
      </c>
      <c r="AG2" s="6" t="n">
        <v>933.96</v>
      </c>
      <c r="AH2" s="11" t="n">
        <v>45342</v>
      </c>
      <c r="AI2" s="6" t="n">
        <v>1</v>
      </c>
      <c r="AJ2" s="6" t="n">
        <v>959.37</v>
      </c>
      <c r="AK2" s="11" t="n">
        <v>45342</v>
      </c>
      <c r="AL2" s="6" t="n">
        <v>2</v>
      </c>
      <c r="AM2" s="6" t="n">
        <v>1801.92</v>
      </c>
      <c r="AN2" s="11" t="n">
        <v>44734</v>
      </c>
      <c r="AO2" s="6" t="n">
        <v>2</v>
      </c>
      <c r="AP2" s="6" t="n">
        <v>1931.66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0"/>
      <c r="H3" s="5" t="s">
        <f>=SUM(I2:I2)/SUM(H2:H2)</f>
      </c>
      <c r="I3" s="0" t="s">
        <v>11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11" t="n">
        <v>44931</v>
      </c>
      <c r="W3" s="6" t="n">
        <v>1</v>
      </c>
      <c r="X3" s="6" t="n">
        <v>937.04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0.5692</v>
      </c>
      <c r="C4" s="0" t="s">
        <v>282</v>
      </c>
      <c r="D4" s="11" t="n">
        <v>45441</v>
      </c>
      <c r="E4" s="6" t="n">
        <v>3</v>
      </c>
      <c r="F4" s="6" t="n">
        <v>31.53</v>
      </c>
      <c r="G4" s="0"/>
      <c r="H4" s="6" t="n">
        <v>152.84</v>
      </c>
      <c r="I4" s="0" t="s">
        <v>282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105.939</v>
      </c>
      <c r="U4" s="0" t="s">
        <v>282</v>
      </c>
      <c r="V4" s="0"/>
      <c r="W4" s="5" t="s">
        <f>=SUM(X2:X3)/SUM(W2:W3)</f>
      </c>
      <c r="X4" s="0" t="s">
        <v>11</v>
      </c>
      <c r="Y4" s="0"/>
      <c r="Z4" s="6" t="n">
        <v>99.76</v>
      </c>
      <c r="AA4" s="0" t="s">
        <v>282</v>
      </c>
      <c r="AB4" s="0"/>
      <c r="AC4" s="6" t="n">
        <v>96.78</v>
      </c>
      <c r="AD4" s="0" t="s">
        <v>282</v>
      </c>
      <c r="AE4" s="0"/>
      <c r="AF4" s="6" t="n">
        <v>96.95</v>
      </c>
      <c r="AG4" s="0" t="s">
        <v>282</v>
      </c>
      <c r="AH4" s="0"/>
      <c r="AI4" s="6" t="n">
        <v>97.67</v>
      </c>
      <c r="AJ4" s="0" t="s">
        <v>282</v>
      </c>
      <c r="AK4" s="0"/>
      <c r="AL4" s="6" t="n">
        <v>96.89</v>
      </c>
      <c r="AM4" s="0" t="s">
        <v>282</v>
      </c>
      <c r="AN4" s="0"/>
      <c r="AO4" s="6" t="n">
        <v>99.12</v>
      </c>
      <c r="AP4" s="0" t="s">
        <v>282</v>
      </c>
    </row>
    <row collapsed="false" customFormat="false" customHeight="false" hidden="false" ht="12.1" outlineLevel="0" r="5">
      <c r="A5" s="0"/>
      <c r="B5" s="6" t="n">
        <v>158</v>
      </c>
      <c r="C5" s="0" t="s">
        <v>283</v>
      </c>
      <c r="D5" s="11" t="n">
        <v>45456</v>
      </c>
      <c r="E5" s="6" t="n">
        <v>11</v>
      </c>
      <c r="F5" s="6" t="n">
        <v>113.19</v>
      </c>
      <c r="G5" s="0"/>
      <c r="H5" s="6" t="n">
        <v>328</v>
      </c>
      <c r="I5" s="0" t="s">
        <v>283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13.84</v>
      </c>
      <c r="R5" s="0" t="s">
        <v>282</v>
      </c>
      <c r="S5" s="0"/>
      <c r="T5" s="6" t="n">
        <v>2</v>
      </c>
      <c r="U5" s="0" t="s">
        <v>283</v>
      </c>
      <c r="V5" s="0"/>
      <c r="W5" s="6" t="n">
        <v>101.42</v>
      </c>
      <c r="X5" s="0" t="s">
        <v>282</v>
      </c>
      <c r="Y5" s="0"/>
      <c r="Z5" s="6" t="n">
        <v>2</v>
      </c>
      <c r="AA5" s="0" t="s">
        <v>283</v>
      </c>
      <c r="AB5" s="0"/>
      <c r="AC5" s="6" t="n">
        <v>1</v>
      </c>
      <c r="AD5" s="0" t="s">
        <v>283</v>
      </c>
      <c r="AE5" s="0"/>
      <c r="AF5" s="6" t="n">
        <v>1</v>
      </c>
      <c r="AG5" s="0" t="s">
        <v>283</v>
      </c>
      <c r="AH5" s="0"/>
      <c r="AI5" s="6" t="n">
        <v>1</v>
      </c>
      <c r="AJ5" s="0" t="s">
        <v>283</v>
      </c>
      <c r="AK5" s="0"/>
      <c r="AL5" s="6" t="n">
        <v>2</v>
      </c>
      <c r="AM5" s="0" t="s">
        <v>283</v>
      </c>
      <c r="AN5" s="0"/>
      <c r="AO5" s="6" t="n">
        <v>2</v>
      </c>
      <c r="AP5" s="0" t="s">
        <v>283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284</v>
      </c>
      <c r="D6" s="11" t="n">
        <v>45457</v>
      </c>
      <c r="E6" s="6" t="n">
        <v>195</v>
      </c>
      <c r="F6" s="6" t="n">
        <v>2016.3</v>
      </c>
      <c r="G6" s="0"/>
      <c r="H6" s="5" t="s">
        <f>=H5*(ABS(H4)-ABS(H3))</f>
      </c>
      <c r="I6" s="0" t="s">
        <v>284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283</v>
      </c>
      <c r="S6" s="0"/>
      <c r="T6" s="6" t="s">
        <f>=Портфель!G10*Портфель!$Q$13</f>
      </c>
      <c r="U6" s="0" t="s">
        <v>6</v>
      </c>
      <c r="V6" s="0"/>
      <c r="W6" s="6" t="n">
        <v>2</v>
      </c>
      <c r="X6" s="0" t="s">
        <v>283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s">
        <f>=Портфель!G16*Портфель!$Q$13</f>
      </c>
      <c r="AM6" s="0" t="s">
        <v>6</v>
      </c>
      <c r="AN6" s="0"/>
      <c r="AO6" s="6" t="s">
        <f>=Портфель!G17*Портфель!$Q$13</f>
      </c>
      <c r="AP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0"/>
      <c r="I7" s="0"/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284</v>
      </c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284</v>
      </c>
      <c r="V8" s="0"/>
      <c r="W8" s="6" t="s">
        <f>=Портфель!H11*Портфель!$Q$13</f>
      </c>
      <c r="X8" s="0" t="s">
        <v>7</v>
      </c>
      <c r="Y8" s="0"/>
      <c r="Z8" s="5" t="s">
        <f>=Z5*(Z6*Z4/100-Z3+Z7)</f>
      </c>
      <c r="AA8" s="0" t="s">
        <v>284</v>
      </c>
      <c r="AB8" s="0"/>
      <c r="AC8" s="5" t="s">
        <f>=AC5*(AC6*AC4/100-AC3+AC7)</f>
      </c>
      <c r="AD8" s="0" t="s">
        <v>284</v>
      </c>
      <c r="AE8" s="0"/>
      <c r="AF8" s="5" t="s">
        <f>=AF5*(AF6*AF4/100-AF3+AF7)</f>
      </c>
      <c r="AG8" s="0" t="s">
        <v>284</v>
      </c>
      <c r="AH8" s="0"/>
      <c r="AI8" s="5" t="s">
        <f>=AI5*(AI6*AI4/100-AI3+AI7)</f>
      </c>
      <c r="AJ8" s="0" t="s">
        <v>284</v>
      </c>
      <c r="AK8" s="0"/>
      <c r="AL8" s="5" t="s">
        <f>=AL5*(AL6*AL4/100-AL3+AL7)</f>
      </c>
      <c r="AM8" s="0" t="s">
        <v>284</v>
      </c>
      <c r="AN8" s="0"/>
      <c r="AO8" s="5" t="s">
        <f>=AO5*(AO6*AO4/100-AO3+AO7)</f>
      </c>
      <c r="AP8" s="0" t="s">
        <v>284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15.66</v>
      </c>
      <c r="O9" s="0" t="s">
        <v>282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284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283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284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7.93</v>
      </c>
      <c r="L23" s="0" t="s">
        <v>282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283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284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507</v>
      </c>
      <c r="F35" s="6" t="n">
        <v>5171.4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</v>
      </c>
      <c r="F36" s="6" t="n">
        <v>403.2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40</v>
      </c>
      <c r="F37" s="6" t="n">
        <v>396</v>
      </c>
    </row>
    <row collapsed="false" customFormat="false" customHeight="false" hidden="false" ht="12.1" outlineLevel="0" r="38">
      <c r="A38" s="0"/>
      <c r="B38" s="0"/>
      <c r="C38" s="0"/>
      <c r="D38" s="0"/>
      <c r="E38" s="5" t="s">
        <f>=SUM(F2:F37)/SUM(E2:E37)</f>
      </c>
      <c r="F38" s="0" t="s">
        <v>11</v>
      </c>
    </row>
    <row collapsed="false" customFormat="false" customHeight="false" hidden="false" ht="12.1" outlineLevel="0" r="39">
      <c r="A39" s="0"/>
      <c r="B39" s="0"/>
      <c r="C39" s="0"/>
      <c r="D39" s="0"/>
      <c r="E39" s="6" t="n">
        <v>9.82</v>
      </c>
      <c r="F39" s="0" t="s">
        <v>282</v>
      </c>
    </row>
    <row collapsed="false" customFormat="false" customHeight="false" hidden="false" ht="12.1" outlineLevel="0" r="40">
      <c r="A40" s="0"/>
      <c r="B40" s="0"/>
      <c r="C40" s="0"/>
      <c r="D40" s="0"/>
      <c r="E40" s="6" t="n">
        <v>7347</v>
      </c>
      <c r="F40" s="0" t="s">
        <v>283</v>
      </c>
    </row>
    <row collapsed="false" customFormat="false" customHeight="false" hidden="false" ht="12.1" outlineLevel="0" r="41">
      <c r="A41" s="0"/>
      <c r="B41" s="0"/>
      <c r="C41" s="0"/>
      <c r="D41" s="0"/>
      <c r="E41" s="5" t="s">
        <f>=E40*(ABS(E39)-ABS(E38))</f>
      </c>
      <c r="F41" s="0" t="s">
        <v>284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285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286</v>
      </c>
      <c r="L1" s="18" t="s">
        <v>287</v>
      </c>
      <c r="M1" s="18" t="s">
        <v>72</v>
      </c>
      <c r="N1" s="18" t="s">
        <v>19</v>
      </c>
      <c r="O1" s="18" t="s">
        <v>288</v>
      </c>
    </row>
    <row collapsed="false" customFormat="false" customHeight="false" hidden="false" ht="12.1" outlineLevel="0" r="2">
      <c r="A2" s="21" t="n">
        <v>44602.942407407</v>
      </c>
      <c r="B2" s="22" t="s">
        <v>289</v>
      </c>
      <c r="C2" s="22" t="s">
        <v>84</v>
      </c>
      <c r="D2" s="22" t="s">
        <v>289</v>
      </c>
      <c r="E2" s="22" t="s">
        <v>289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252</v>
      </c>
      <c r="C3" s="16" t="s">
        <v>290</v>
      </c>
      <c r="D3" s="16" t="s">
        <v>248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0</v>
      </c>
      <c r="K3" s="6" t="n">
        <v>-11.56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253</v>
      </c>
      <c r="C4" s="16" t="s">
        <v>291</v>
      </c>
      <c r="D4" s="16" t="s">
        <v>248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0</v>
      </c>
      <c r="K4" s="6" t="n">
        <v>-53.18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254</v>
      </c>
      <c r="C5" s="16" t="s">
        <v>292</v>
      </c>
      <c r="D5" s="16" t="s">
        <v>248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289</v>
      </c>
      <c r="C6" s="22" t="s">
        <v>84</v>
      </c>
      <c r="D6" s="22" t="s">
        <v>289</v>
      </c>
      <c r="E6" s="22" t="s">
        <v>289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253</v>
      </c>
      <c r="C7" s="16" t="s">
        <v>291</v>
      </c>
      <c r="D7" s="16" t="s">
        <v>248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289</v>
      </c>
      <c r="C8" s="22" t="s">
        <v>84</v>
      </c>
      <c r="D8" s="22" t="s">
        <v>289</v>
      </c>
      <c r="E8" s="22" t="s">
        <v>289</v>
      </c>
      <c r="F8" s="22" t="s">
        <v>72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289</v>
      </c>
      <c r="C9" s="22" t="s">
        <v>84</v>
      </c>
      <c r="D9" s="22" t="s">
        <v>289</v>
      </c>
      <c r="E9" s="22" t="s">
        <v>289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289</v>
      </c>
      <c r="C10" s="22" t="s">
        <v>84</v>
      </c>
      <c r="D10" s="22" t="s">
        <v>289</v>
      </c>
      <c r="E10" s="22" t="s">
        <v>289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289</v>
      </c>
      <c r="C11" s="22" t="s">
        <v>84</v>
      </c>
      <c r="D11" s="22" t="s">
        <v>289</v>
      </c>
      <c r="E11" s="22" t="s">
        <v>289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289</v>
      </c>
      <c r="C12" s="22" t="s">
        <v>84</v>
      </c>
      <c r="D12" s="22" t="s">
        <v>289</v>
      </c>
      <c r="E12" s="22" t="s">
        <v>289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289</v>
      </c>
      <c r="C13" s="22" t="s">
        <v>84</v>
      </c>
      <c r="D13" s="22" t="s">
        <v>289</v>
      </c>
      <c r="E13" s="22" t="s">
        <v>289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289</v>
      </c>
      <c r="C14" s="22" t="s">
        <v>84</v>
      </c>
      <c r="D14" s="22" t="s">
        <v>289</v>
      </c>
      <c r="E14" s="22" t="s">
        <v>289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289</v>
      </c>
      <c r="C15" s="22" t="s">
        <v>84</v>
      </c>
      <c r="D15" s="22" t="s">
        <v>289</v>
      </c>
      <c r="E15" s="22" t="s">
        <v>289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252</v>
      </c>
      <c r="C16" s="26" t="s">
        <v>290</v>
      </c>
      <c r="D16" s="26" t="s">
        <v>250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253</v>
      </c>
      <c r="C17" s="26" t="s">
        <v>291</v>
      </c>
      <c r="D17" s="26" t="s">
        <v>250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289</v>
      </c>
      <c r="C18" s="22" t="s">
        <v>84</v>
      </c>
      <c r="D18" s="22" t="s">
        <v>289</v>
      </c>
      <c r="E18" s="22" t="s">
        <v>289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293</v>
      </c>
      <c r="C19" s="30" t="s">
        <v>85</v>
      </c>
      <c r="D19" s="30" t="s">
        <v>293</v>
      </c>
      <c r="E19" s="30" t="s">
        <v>293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293</v>
      </c>
      <c r="C20" s="30" t="s">
        <v>85</v>
      </c>
      <c r="D20" s="30" t="s">
        <v>293</v>
      </c>
      <c r="E20" s="30" t="s">
        <v>293</v>
      </c>
      <c r="F20" s="30" t="s">
        <v>72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289</v>
      </c>
      <c r="C21" s="22" t="s">
        <v>84</v>
      </c>
      <c r="D21" s="22" t="s">
        <v>289</v>
      </c>
      <c r="E21" s="22" t="s">
        <v>289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255</v>
      </c>
      <c r="C22" s="16" t="s">
        <v>294</v>
      </c>
      <c r="D22" s="16" t="s">
        <v>248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255</v>
      </c>
      <c r="C23" s="16" t="s">
        <v>294</v>
      </c>
      <c r="D23" s="16" t="s">
        <v>248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256</v>
      </c>
      <c r="C24" s="16" t="s">
        <v>295</v>
      </c>
      <c r="D24" s="16" t="s">
        <v>248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257</v>
      </c>
      <c r="C25" s="16" t="s">
        <v>296</v>
      </c>
      <c r="D25" s="16" t="s">
        <v>248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258</v>
      </c>
      <c r="C26" s="16" t="s">
        <v>297</v>
      </c>
      <c r="D26" s="16" t="s">
        <v>248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69</v>
      </c>
      <c r="C27" s="16" t="s">
        <v>298</v>
      </c>
      <c r="D27" s="16" t="s">
        <v>248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259</v>
      </c>
      <c r="C28" s="16" t="s">
        <v>299</v>
      </c>
      <c r="D28" s="16" t="s">
        <v>248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289</v>
      </c>
      <c r="C29" s="22" t="s">
        <v>84</v>
      </c>
      <c r="D29" s="22" t="s">
        <v>289</v>
      </c>
      <c r="E29" s="22" t="s">
        <v>289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260</v>
      </c>
      <c r="C30" s="16" t="s">
        <v>300</v>
      </c>
      <c r="D30" s="16" t="s">
        <v>248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261</v>
      </c>
      <c r="C31" s="16" t="s">
        <v>301</v>
      </c>
      <c r="D31" s="16" t="s">
        <v>248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50</v>
      </c>
      <c r="C32" s="16" t="s">
        <v>302</v>
      </c>
      <c r="D32" s="16" t="s">
        <v>248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303</v>
      </c>
      <c r="D33" s="16" t="s">
        <v>248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262</v>
      </c>
      <c r="C34" s="16" t="s">
        <v>304</v>
      </c>
      <c r="D34" s="16" t="s">
        <v>248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305</v>
      </c>
      <c r="C35" s="22" t="s">
        <v>306</v>
      </c>
      <c r="D35" s="22" t="s">
        <v>305</v>
      </c>
      <c r="E35" s="22" t="s">
        <v>305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307</v>
      </c>
      <c r="C36" s="34" t="s">
        <v>308</v>
      </c>
      <c r="D36" s="34" t="s">
        <v>307</v>
      </c>
      <c r="E36" s="34" t="s">
        <v>307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289</v>
      </c>
      <c r="C37" s="22" t="s">
        <v>84</v>
      </c>
      <c r="D37" s="22" t="s">
        <v>289</v>
      </c>
      <c r="E37" s="22" t="s">
        <v>289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309</v>
      </c>
      <c r="D38" s="16" t="s">
        <v>248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305</v>
      </c>
      <c r="C39" s="22" t="s">
        <v>310</v>
      </c>
      <c r="D39" s="22" t="s">
        <v>305</v>
      </c>
      <c r="E39" s="22" t="s">
        <v>305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307</v>
      </c>
      <c r="C40" s="34" t="s">
        <v>311</v>
      </c>
      <c r="D40" s="34" t="s">
        <v>307</v>
      </c>
      <c r="E40" s="34" t="s">
        <v>307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0</v>
      </c>
      <c r="L40" s="36" t="n">
        <v>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312</v>
      </c>
      <c r="C41" s="22" t="s">
        <v>313</v>
      </c>
      <c r="D41" s="22" t="s">
        <v>312</v>
      </c>
      <c r="E41" s="22" t="s">
        <v>312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309</v>
      </c>
      <c r="D42" s="16" t="s">
        <v>248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305</v>
      </c>
      <c r="C43" s="22" t="s">
        <v>314</v>
      </c>
      <c r="D43" s="22" t="s">
        <v>305</v>
      </c>
      <c r="E43" s="22" t="s">
        <v>305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307</v>
      </c>
      <c r="C44" s="34" t="s">
        <v>315</v>
      </c>
      <c r="D44" s="34" t="s">
        <v>307</v>
      </c>
      <c r="E44" s="34" t="s">
        <v>307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0</v>
      </c>
      <c r="L44" s="36" t="n">
        <v>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309</v>
      </c>
      <c r="D45" s="16" t="s">
        <v>248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305</v>
      </c>
      <c r="C46" s="22" t="s">
        <v>316</v>
      </c>
      <c r="D46" s="22" t="s">
        <v>305</v>
      </c>
      <c r="E46" s="22" t="s">
        <v>305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307</v>
      </c>
      <c r="C47" s="34" t="s">
        <v>317</v>
      </c>
      <c r="D47" s="34" t="s">
        <v>307</v>
      </c>
      <c r="E47" s="34" t="s">
        <v>307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0</v>
      </c>
      <c r="L47" s="36" t="n">
        <v>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309</v>
      </c>
      <c r="D48" s="16" t="s">
        <v>248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289</v>
      </c>
      <c r="C49" s="22" t="s">
        <v>84</v>
      </c>
      <c r="D49" s="22" t="s">
        <v>289</v>
      </c>
      <c r="E49" s="22" t="s">
        <v>289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289</v>
      </c>
      <c r="C50" s="22" t="s">
        <v>84</v>
      </c>
      <c r="D50" s="22" t="s">
        <v>289</v>
      </c>
      <c r="E50" s="22" t="s">
        <v>289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309</v>
      </c>
      <c r="D51" s="16" t="s">
        <v>248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305</v>
      </c>
      <c r="C52" s="22" t="s">
        <v>318</v>
      </c>
      <c r="D52" s="22" t="s">
        <v>305</v>
      </c>
      <c r="E52" s="22" t="s">
        <v>305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307</v>
      </c>
      <c r="C53" s="34" t="s">
        <v>319</v>
      </c>
      <c r="D53" s="34" t="s">
        <v>307</v>
      </c>
      <c r="E53" s="34" t="s">
        <v>307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309</v>
      </c>
      <c r="D54" s="16" t="s">
        <v>248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262</v>
      </c>
      <c r="C55" s="26" t="s">
        <v>304</v>
      </c>
      <c r="D55" s="26" t="s">
        <v>250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309</v>
      </c>
      <c r="D56" s="16" t="s">
        <v>248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309</v>
      </c>
      <c r="D57" s="16" t="s">
        <v>248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305</v>
      </c>
      <c r="C58" s="22" t="s">
        <v>320</v>
      </c>
      <c r="D58" s="22" t="s">
        <v>305</v>
      </c>
      <c r="E58" s="22" t="s">
        <v>305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307</v>
      </c>
      <c r="C59" s="34" t="s">
        <v>321</v>
      </c>
      <c r="D59" s="34" t="s">
        <v>307</v>
      </c>
      <c r="E59" s="34" t="s">
        <v>307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305</v>
      </c>
      <c r="C60" s="22" t="s">
        <v>322</v>
      </c>
      <c r="D60" s="22" t="s">
        <v>305</v>
      </c>
      <c r="E60" s="22" t="s">
        <v>305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307</v>
      </c>
      <c r="C61" s="34" t="s">
        <v>323</v>
      </c>
      <c r="D61" s="34" t="s">
        <v>307</v>
      </c>
      <c r="E61" s="34" t="s">
        <v>307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0</v>
      </c>
      <c r="L61" s="36" t="n">
        <v>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305</v>
      </c>
      <c r="C62" s="22" t="s">
        <v>324</v>
      </c>
      <c r="D62" s="22" t="s">
        <v>305</v>
      </c>
      <c r="E62" s="22" t="s">
        <v>305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307</v>
      </c>
      <c r="C63" s="34" t="s">
        <v>325</v>
      </c>
      <c r="D63" s="34" t="s">
        <v>307</v>
      </c>
      <c r="E63" s="34" t="s">
        <v>307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309</v>
      </c>
      <c r="D64" s="16" t="s">
        <v>248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305</v>
      </c>
      <c r="C65" s="22" t="s">
        <v>306</v>
      </c>
      <c r="D65" s="22" t="s">
        <v>305</v>
      </c>
      <c r="E65" s="22" t="s">
        <v>305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307</v>
      </c>
      <c r="C66" s="34" t="s">
        <v>308</v>
      </c>
      <c r="D66" s="34" t="s">
        <v>307</v>
      </c>
      <c r="E66" s="34" t="s">
        <v>307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312</v>
      </c>
      <c r="C67" s="22" t="s">
        <v>326</v>
      </c>
      <c r="D67" s="22" t="s">
        <v>312</v>
      </c>
      <c r="E67" s="22" t="s">
        <v>312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305</v>
      </c>
      <c r="C68" s="22" t="s">
        <v>314</v>
      </c>
      <c r="D68" s="22" t="s">
        <v>305</v>
      </c>
      <c r="E68" s="22" t="s">
        <v>305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307</v>
      </c>
      <c r="C69" s="34" t="s">
        <v>315</v>
      </c>
      <c r="D69" s="34" t="s">
        <v>307</v>
      </c>
      <c r="E69" s="34" t="s">
        <v>307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0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309</v>
      </c>
      <c r="D70" s="26" t="s">
        <v>250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263</v>
      </c>
      <c r="C71" s="16" t="s">
        <v>327</v>
      </c>
      <c r="D71" s="16" t="s">
        <v>248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264</v>
      </c>
      <c r="C72" s="16" t="s">
        <v>328</v>
      </c>
      <c r="D72" s="16" t="s">
        <v>248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305</v>
      </c>
      <c r="C73" s="22" t="s">
        <v>320</v>
      </c>
      <c r="D73" s="22" t="s">
        <v>305</v>
      </c>
      <c r="E73" s="22" t="s">
        <v>305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307</v>
      </c>
      <c r="C74" s="34" t="s">
        <v>321</v>
      </c>
      <c r="D74" s="34" t="s">
        <v>307</v>
      </c>
      <c r="E74" s="34" t="s">
        <v>307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0</v>
      </c>
      <c r="L74" s="36" t="n">
        <v>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307</v>
      </c>
      <c r="C75" s="34" t="s">
        <v>323</v>
      </c>
      <c r="D75" s="34" t="s">
        <v>307</v>
      </c>
      <c r="E75" s="34" t="s">
        <v>307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0</v>
      </c>
      <c r="L75" s="36" t="n">
        <v>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305</v>
      </c>
      <c r="C76" s="22" t="s">
        <v>322</v>
      </c>
      <c r="D76" s="22" t="s">
        <v>305</v>
      </c>
      <c r="E76" s="22" t="s">
        <v>305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312</v>
      </c>
      <c r="C77" s="22" t="s">
        <v>329</v>
      </c>
      <c r="D77" s="22" t="s">
        <v>312</v>
      </c>
      <c r="E77" s="22" t="s">
        <v>312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305</v>
      </c>
      <c r="C78" s="22" t="s">
        <v>330</v>
      </c>
      <c r="D78" s="22" t="s">
        <v>305</v>
      </c>
      <c r="E78" s="22" t="s">
        <v>305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307</v>
      </c>
      <c r="C79" s="34" t="s">
        <v>331</v>
      </c>
      <c r="D79" s="34" t="s">
        <v>307</v>
      </c>
      <c r="E79" s="34" t="s">
        <v>307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0</v>
      </c>
      <c r="L79" s="36" t="n">
        <v>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305</v>
      </c>
      <c r="C80" s="22" t="s">
        <v>332</v>
      </c>
      <c r="D80" s="22" t="s">
        <v>305</v>
      </c>
      <c r="E80" s="22" t="s">
        <v>305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307</v>
      </c>
      <c r="C81" s="34" t="s">
        <v>333</v>
      </c>
      <c r="D81" s="34" t="s">
        <v>307</v>
      </c>
      <c r="E81" s="34" t="s">
        <v>307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0</v>
      </c>
      <c r="L81" s="36" t="n">
        <v>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305</v>
      </c>
      <c r="C82" s="22" t="s">
        <v>334</v>
      </c>
      <c r="D82" s="22" t="s">
        <v>305</v>
      </c>
      <c r="E82" s="22" t="s">
        <v>305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307</v>
      </c>
      <c r="C83" s="34" t="s">
        <v>335</v>
      </c>
      <c r="D83" s="34" t="s">
        <v>307</v>
      </c>
      <c r="E83" s="34" t="s">
        <v>307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0</v>
      </c>
      <c r="L83" s="36" t="n">
        <v>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305</v>
      </c>
      <c r="C84" s="22" t="s">
        <v>324</v>
      </c>
      <c r="D84" s="22" t="s">
        <v>305</v>
      </c>
      <c r="E84" s="22" t="s">
        <v>305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307</v>
      </c>
      <c r="C85" s="34" t="s">
        <v>325</v>
      </c>
      <c r="D85" s="34" t="s">
        <v>307</v>
      </c>
      <c r="E85" s="34" t="s">
        <v>307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0</v>
      </c>
      <c r="L85" s="36" t="n">
        <v>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305</v>
      </c>
      <c r="C86" s="22" t="s">
        <v>336</v>
      </c>
      <c r="D86" s="22" t="s">
        <v>305</v>
      </c>
      <c r="E86" s="22" t="s">
        <v>305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307</v>
      </c>
      <c r="C87" s="34" t="s">
        <v>337</v>
      </c>
      <c r="D87" s="34" t="s">
        <v>307</v>
      </c>
      <c r="E87" s="34" t="s">
        <v>307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0</v>
      </c>
      <c r="L87" s="36" t="n">
        <v>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289</v>
      </c>
      <c r="C88" s="22" t="s">
        <v>84</v>
      </c>
      <c r="D88" s="22" t="s">
        <v>289</v>
      </c>
      <c r="E88" s="22" t="s">
        <v>289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54</v>
      </c>
      <c r="C89" s="16" t="s">
        <v>338</v>
      </c>
      <c r="D89" s="16" t="s">
        <v>248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46</v>
      </c>
      <c r="C90" s="16" t="s">
        <v>339</v>
      </c>
      <c r="D90" s="16" t="s">
        <v>248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46</v>
      </c>
      <c r="C91" s="16" t="s">
        <v>339</v>
      </c>
      <c r="D91" s="16" t="s">
        <v>248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305</v>
      </c>
      <c r="C92" s="22" t="s">
        <v>306</v>
      </c>
      <c r="D92" s="22" t="s">
        <v>305</v>
      </c>
      <c r="E92" s="22" t="s">
        <v>305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307</v>
      </c>
      <c r="C93" s="34" t="s">
        <v>308</v>
      </c>
      <c r="D93" s="34" t="s">
        <v>307</v>
      </c>
      <c r="E93" s="34" t="s">
        <v>307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305</v>
      </c>
      <c r="C94" s="22" t="s">
        <v>310</v>
      </c>
      <c r="D94" s="22" t="s">
        <v>305</v>
      </c>
      <c r="E94" s="22" t="s">
        <v>305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307</v>
      </c>
      <c r="C95" s="34" t="s">
        <v>311</v>
      </c>
      <c r="D95" s="34" t="s">
        <v>307</v>
      </c>
      <c r="E95" s="34" t="s">
        <v>307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305</v>
      </c>
      <c r="C96" s="22" t="s">
        <v>314</v>
      </c>
      <c r="D96" s="22" t="s">
        <v>305</v>
      </c>
      <c r="E96" s="22" t="s">
        <v>305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307</v>
      </c>
      <c r="C97" s="34" t="s">
        <v>315</v>
      </c>
      <c r="D97" s="34" t="s">
        <v>307</v>
      </c>
      <c r="E97" s="34" t="s">
        <v>307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305</v>
      </c>
      <c r="C98" s="22" t="s">
        <v>340</v>
      </c>
      <c r="D98" s="22" t="s">
        <v>305</v>
      </c>
      <c r="E98" s="22" t="s">
        <v>305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307</v>
      </c>
      <c r="C99" s="34" t="s">
        <v>341</v>
      </c>
      <c r="D99" s="34" t="s">
        <v>307</v>
      </c>
      <c r="E99" s="34" t="s">
        <v>307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293</v>
      </c>
      <c r="C100" s="30" t="s">
        <v>85</v>
      </c>
      <c r="D100" s="30" t="s">
        <v>293</v>
      </c>
      <c r="E100" s="30" t="s">
        <v>293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0</v>
      </c>
      <c r="L100" s="32" t="n">
        <v>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305</v>
      </c>
      <c r="C101" s="22" t="s">
        <v>316</v>
      </c>
      <c r="D101" s="22" t="s">
        <v>305</v>
      </c>
      <c r="E101" s="22" t="s">
        <v>305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307</v>
      </c>
      <c r="C102" s="34" t="s">
        <v>317</v>
      </c>
      <c r="D102" s="34" t="s">
        <v>307</v>
      </c>
      <c r="E102" s="34" t="s">
        <v>307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289</v>
      </c>
      <c r="C103" s="22" t="s">
        <v>84</v>
      </c>
      <c r="D103" s="22" t="s">
        <v>289</v>
      </c>
      <c r="E103" s="22" t="s">
        <v>289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289</v>
      </c>
      <c r="C104" s="22" t="s">
        <v>84</v>
      </c>
      <c r="D104" s="22" t="s">
        <v>289</v>
      </c>
      <c r="E104" s="22" t="s">
        <v>289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289</v>
      </c>
      <c r="C105" s="22" t="s">
        <v>84</v>
      </c>
      <c r="D105" s="22" t="s">
        <v>289</v>
      </c>
      <c r="E105" s="22" t="s">
        <v>289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262</v>
      </c>
      <c r="C106" s="16" t="s">
        <v>304</v>
      </c>
      <c r="D106" s="16" t="s">
        <v>248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253</v>
      </c>
      <c r="C107" s="16" t="s">
        <v>291</v>
      </c>
      <c r="D107" s="16" t="s">
        <v>248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0</v>
      </c>
      <c r="K107" s="6" t="n">
        <v>-0.01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289</v>
      </c>
      <c r="C108" s="22" t="s">
        <v>84</v>
      </c>
      <c r="D108" s="22" t="s">
        <v>289</v>
      </c>
      <c r="E108" s="22" t="s">
        <v>289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305</v>
      </c>
      <c r="C109" s="22" t="s">
        <v>318</v>
      </c>
      <c r="D109" s="22" t="s">
        <v>305</v>
      </c>
      <c r="E109" s="22" t="s">
        <v>305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307</v>
      </c>
      <c r="C110" s="34" t="s">
        <v>319</v>
      </c>
      <c r="D110" s="34" t="s">
        <v>307</v>
      </c>
      <c r="E110" s="34" t="s">
        <v>307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0</v>
      </c>
      <c r="L110" s="36" t="n">
        <v>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289</v>
      </c>
      <c r="C111" s="22" t="s">
        <v>84</v>
      </c>
      <c r="D111" s="22" t="s">
        <v>289</v>
      </c>
      <c r="E111" s="22" t="s">
        <v>289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262</v>
      </c>
      <c r="C112" s="16" t="s">
        <v>304</v>
      </c>
      <c r="D112" s="16" t="s">
        <v>248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0</v>
      </c>
      <c r="K112" s="6" t="n">
        <v>0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293</v>
      </c>
      <c r="C113" s="30" t="s">
        <v>85</v>
      </c>
      <c r="D113" s="30" t="s">
        <v>293</v>
      </c>
      <c r="E113" s="30" t="s">
        <v>293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312</v>
      </c>
      <c r="C114" s="22" t="s">
        <v>342</v>
      </c>
      <c r="D114" s="22" t="s">
        <v>312</v>
      </c>
      <c r="E114" s="22" t="s">
        <v>312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305</v>
      </c>
      <c r="C115" s="22" t="s">
        <v>320</v>
      </c>
      <c r="D115" s="22" t="s">
        <v>305</v>
      </c>
      <c r="E115" s="22" t="s">
        <v>305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307</v>
      </c>
      <c r="C116" s="34" t="s">
        <v>321</v>
      </c>
      <c r="D116" s="34" t="s">
        <v>307</v>
      </c>
      <c r="E116" s="34" t="s">
        <v>307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312</v>
      </c>
      <c r="C117" s="22" t="s">
        <v>343</v>
      </c>
      <c r="D117" s="22" t="s">
        <v>312</v>
      </c>
      <c r="E117" s="22" t="s">
        <v>312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305</v>
      </c>
      <c r="C118" s="22" t="s">
        <v>322</v>
      </c>
      <c r="D118" s="22" t="s">
        <v>305</v>
      </c>
      <c r="E118" s="22" t="s">
        <v>305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307</v>
      </c>
      <c r="C119" s="34" t="s">
        <v>323</v>
      </c>
      <c r="D119" s="34" t="s">
        <v>307</v>
      </c>
      <c r="E119" s="34" t="s">
        <v>307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0</v>
      </c>
      <c r="L119" s="36" t="n">
        <v>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289</v>
      </c>
      <c r="C120" s="22" t="s">
        <v>84</v>
      </c>
      <c r="D120" s="22" t="s">
        <v>289</v>
      </c>
      <c r="E120" s="22" t="s">
        <v>289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305</v>
      </c>
      <c r="C121" s="22" t="s">
        <v>332</v>
      </c>
      <c r="D121" s="22" t="s">
        <v>305</v>
      </c>
      <c r="E121" s="22" t="s">
        <v>305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307</v>
      </c>
      <c r="C122" s="34" t="s">
        <v>333</v>
      </c>
      <c r="D122" s="34" t="s">
        <v>307</v>
      </c>
      <c r="E122" s="34" t="s">
        <v>307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0</v>
      </c>
      <c r="L122" s="36" t="n">
        <v>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265</v>
      </c>
      <c r="C123" s="16" t="s">
        <v>344</v>
      </c>
      <c r="D123" s="16" t="s">
        <v>248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0</v>
      </c>
      <c r="K123" s="6" t="n">
        <v>-1.06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289</v>
      </c>
      <c r="C124" s="22" t="s">
        <v>84</v>
      </c>
      <c r="D124" s="22" t="s">
        <v>289</v>
      </c>
      <c r="E124" s="22" t="s">
        <v>289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289</v>
      </c>
      <c r="C125" s="22" t="s">
        <v>84</v>
      </c>
      <c r="D125" s="22" t="s">
        <v>289</v>
      </c>
      <c r="E125" s="22" t="s">
        <v>289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305</v>
      </c>
      <c r="C126" s="22" t="s">
        <v>324</v>
      </c>
      <c r="D126" s="22" t="s">
        <v>305</v>
      </c>
      <c r="E126" s="22" t="s">
        <v>305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307</v>
      </c>
      <c r="C127" s="34" t="s">
        <v>325</v>
      </c>
      <c r="D127" s="34" t="s">
        <v>307</v>
      </c>
      <c r="E127" s="34" t="s">
        <v>307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0</v>
      </c>
      <c r="L127" s="36" t="n">
        <v>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262</v>
      </c>
      <c r="C128" s="26" t="s">
        <v>304</v>
      </c>
      <c r="D128" s="26" t="s">
        <v>250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305</v>
      </c>
      <c r="C129" s="22" t="s">
        <v>306</v>
      </c>
      <c r="D129" s="22" t="s">
        <v>305</v>
      </c>
      <c r="E129" s="22" t="s">
        <v>305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307</v>
      </c>
      <c r="C130" s="34" t="s">
        <v>308</v>
      </c>
      <c r="D130" s="34" t="s">
        <v>307</v>
      </c>
      <c r="E130" s="34" t="s">
        <v>307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0</v>
      </c>
      <c r="L130" s="36" t="n">
        <v>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305</v>
      </c>
      <c r="C131" s="22" t="s">
        <v>314</v>
      </c>
      <c r="D131" s="22" t="s">
        <v>305</v>
      </c>
      <c r="E131" s="22" t="s">
        <v>305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307</v>
      </c>
      <c r="C132" s="34" t="s">
        <v>315</v>
      </c>
      <c r="D132" s="34" t="s">
        <v>307</v>
      </c>
      <c r="E132" s="34" t="s">
        <v>307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305</v>
      </c>
      <c r="C133" s="22" t="s">
        <v>340</v>
      </c>
      <c r="D133" s="22" t="s">
        <v>305</v>
      </c>
      <c r="E133" s="22" t="s">
        <v>305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307</v>
      </c>
      <c r="C134" s="34" t="s">
        <v>341</v>
      </c>
      <c r="D134" s="34" t="s">
        <v>307</v>
      </c>
      <c r="E134" s="34" t="s">
        <v>307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0</v>
      </c>
      <c r="L134" s="36" t="n">
        <v>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312</v>
      </c>
      <c r="C135" s="22" t="s">
        <v>342</v>
      </c>
      <c r="D135" s="22" t="s">
        <v>312</v>
      </c>
      <c r="E135" s="22" t="s">
        <v>312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305</v>
      </c>
      <c r="C136" s="22" t="s">
        <v>320</v>
      </c>
      <c r="D136" s="22" t="s">
        <v>305</v>
      </c>
      <c r="E136" s="22" t="s">
        <v>305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307</v>
      </c>
      <c r="C137" s="34" t="s">
        <v>321</v>
      </c>
      <c r="D137" s="34" t="s">
        <v>307</v>
      </c>
      <c r="E137" s="34" t="s">
        <v>307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305</v>
      </c>
      <c r="C138" s="22" t="s">
        <v>322</v>
      </c>
      <c r="D138" s="22" t="s">
        <v>305</v>
      </c>
      <c r="E138" s="22" t="s">
        <v>305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307</v>
      </c>
      <c r="C139" s="34" t="s">
        <v>323</v>
      </c>
      <c r="D139" s="34" t="s">
        <v>307</v>
      </c>
      <c r="E139" s="34" t="s">
        <v>307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0</v>
      </c>
      <c r="L139" s="36" t="n">
        <v>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312</v>
      </c>
      <c r="C140" s="22" t="s">
        <v>343</v>
      </c>
      <c r="D140" s="22" t="s">
        <v>312</v>
      </c>
      <c r="E140" s="22" t="s">
        <v>312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266</v>
      </c>
      <c r="C141" s="16" t="s">
        <v>345</v>
      </c>
      <c r="D141" s="16" t="s">
        <v>248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305</v>
      </c>
      <c r="C142" s="22" t="s">
        <v>330</v>
      </c>
      <c r="D142" s="22" t="s">
        <v>305</v>
      </c>
      <c r="E142" s="22" t="s">
        <v>305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307</v>
      </c>
      <c r="C143" s="34" t="s">
        <v>331</v>
      </c>
      <c r="D143" s="34" t="s">
        <v>307</v>
      </c>
      <c r="E143" s="34" t="s">
        <v>307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305</v>
      </c>
      <c r="C144" s="22" t="s">
        <v>332</v>
      </c>
      <c r="D144" s="22" t="s">
        <v>305</v>
      </c>
      <c r="E144" s="22" t="s">
        <v>305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307</v>
      </c>
      <c r="C145" s="34" t="s">
        <v>333</v>
      </c>
      <c r="D145" s="34" t="s">
        <v>307</v>
      </c>
      <c r="E145" s="34" t="s">
        <v>307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0</v>
      </c>
      <c r="L145" s="36" t="n">
        <v>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305</v>
      </c>
      <c r="C146" s="22" t="s">
        <v>346</v>
      </c>
      <c r="D146" s="22" t="s">
        <v>305</v>
      </c>
      <c r="E146" s="22" t="s">
        <v>305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307</v>
      </c>
      <c r="C147" s="34" t="s">
        <v>347</v>
      </c>
      <c r="D147" s="34" t="s">
        <v>307</v>
      </c>
      <c r="E147" s="34" t="s">
        <v>307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0</v>
      </c>
      <c r="L147" s="36" t="n">
        <v>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305</v>
      </c>
      <c r="C148" s="22" t="s">
        <v>334</v>
      </c>
      <c r="D148" s="22" t="s">
        <v>305</v>
      </c>
      <c r="E148" s="22" t="s">
        <v>305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307</v>
      </c>
      <c r="C149" s="34" t="s">
        <v>335</v>
      </c>
      <c r="D149" s="34" t="s">
        <v>307</v>
      </c>
      <c r="E149" s="34" t="s">
        <v>307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305</v>
      </c>
      <c r="C150" s="22" t="s">
        <v>324</v>
      </c>
      <c r="D150" s="22" t="s">
        <v>305</v>
      </c>
      <c r="E150" s="22" t="s">
        <v>305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307</v>
      </c>
      <c r="C151" s="34" t="s">
        <v>325</v>
      </c>
      <c r="D151" s="34" t="s">
        <v>307</v>
      </c>
      <c r="E151" s="34" t="s">
        <v>307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0</v>
      </c>
      <c r="L151" s="36" t="n">
        <v>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305</v>
      </c>
      <c r="C152" s="22" t="s">
        <v>336</v>
      </c>
      <c r="D152" s="22" t="s">
        <v>305</v>
      </c>
      <c r="E152" s="22" t="s">
        <v>305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307</v>
      </c>
      <c r="C153" s="34" t="s">
        <v>337</v>
      </c>
      <c r="D153" s="34" t="s">
        <v>307</v>
      </c>
      <c r="E153" s="34" t="s">
        <v>307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305</v>
      </c>
      <c r="C154" s="22" t="s">
        <v>306</v>
      </c>
      <c r="D154" s="22" t="s">
        <v>305</v>
      </c>
      <c r="E154" s="22" t="s">
        <v>305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307</v>
      </c>
      <c r="C155" s="34" t="s">
        <v>308</v>
      </c>
      <c r="D155" s="34" t="s">
        <v>307</v>
      </c>
      <c r="E155" s="34" t="s">
        <v>307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305</v>
      </c>
      <c r="C156" s="22" t="s">
        <v>348</v>
      </c>
      <c r="D156" s="22" t="s">
        <v>305</v>
      </c>
      <c r="E156" s="22" t="s">
        <v>305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307</v>
      </c>
      <c r="C157" s="34" t="s">
        <v>349</v>
      </c>
      <c r="D157" s="34" t="s">
        <v>307</v>
      </c>
      <c r="E157" s="34" t="s">
        <v>307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305</v>
      </c>
      <c r="C158" s="22" t="s">
        <v>310</v>
      </c>
      <c r="D158" s="22" t="s">
        <v>305</v>
      </c>
      <c r="E158" s="22" t="s">
        <v>305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307</v>
      </c>
      <c r="C159" s="34" t="s">
        <v>311</v>
      </c>
      <c r="D159" s="34" t="s">
        <v>307</v>
      </c>
      <c r="E159" s="34" t="s">
        <v>307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0</v>
      </c>
      <c r="L159" s="36" t="n">
        <v>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305</v>
      </c>
      <c r="C160" s="22" t="s">
        <v>350</v>
      </c>
      <c r="D160" s="22" t="s">
        <v>305</v>
      </c>
      <c r="E160" s="22" t="s">
        <v>305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254</v>
      </c>
      <c r="C161" s="26" t="s">
        <v>292</v>
      </c>
      <c r="D161" s="26" t="s">
        <v>250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0</v>
      </c>
      <c r="L161" s="28" t="n">
        <v>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305</v>
      </c>
      <c r="C162" s="22" t="s">
        <v>314</v>
      </c>
      <c r="D162" s="22" t="s">
        <v>305</v>
      </c>
      <c r="E162" s="22" t="s">
        <v>305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307</v>
      </c>
      <c r="C163" s="34" t="s">
        <v>315</v>
      </c>
      <c r="D163" s="34" t="s">
        <v>307</v>
      </c>
      <c r="E163" s="34" t="s">
        <v>307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267</v>
      </c>
      <c r="C164" s="16" t="s">
        <v>351</v>
      </c>
      <c r="D164" s="16" t="s">
        <v>248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305</v>
      </c>
      <c r="C165" s="22" t="s">
        <v>340</v>
      </c>
      <c r="D165" s="22" t="s">
        <v>305</v>
      </c>
      <c r="E165" s="22" t="s">
        <v>305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305</v>
      </c>
      <c r="C166" s="22" t="s">
        <v>352</v>
      </c>
      <c r="D166" s="22" t="s">
        <v>305</v>
      </c>
      <c r="E166" s="22" t="s">
        <v>305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305</v>
      </c>
      <c r="C167" s="22" t="s">
        <v>316</v>
      </c>
      <c r="D167" s="22" t="s">
        <v>305</v>
      </c>
      <c r="E167" s="22" t="s">
        <v>305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305</v>
      </c>
      <c r="C168" s="22" t="s">
        <v>318</v>
      </c>
      <c r="D168" s="22" t="s">
        <v>305</v>
      </c>
      <c r="E168" s="22" t="s">
        <v>305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305</v>
      </c>
      <c r="C169" s="22" t="s">
        <v>320</v>
      </c>
      <c r="D169" s="22" t="s">
        <v>305</v>
      </c>
      <c r="E169" s="22" t="s">
        <v>305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312</v>
      </c>
      <c r="C170" s="22" t="s">
        <v>342</v>
      </c>
      <c r="D170" s="22" t="s">
        <v>312</v>
      </c>
      <c r="E170" s="22" t="s">
        <v>312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305</v>
      </c>
      <c r="C171" s="22" t="s">
        <v>322</v>
      </c>
      <c r="D171" s="22" t="s">
        <v>305</v>
      </c>
      <c r="E171" s="22" t="s">
        <v>305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312</v>
      </c>
      <c r="C172" s="22" t="s">
        <v>343</v>
      </c>
      <c r="D172" s="22" t="s">
        <v>312</v>
      </c>
      <c r="E172" s="22" t="s">
        <v>312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289</v>
      </c>
      <c r="C173" s="22" t="s">
        <v>84</v>
      </c>
      <c r="D173" s="22" t="s">
        <v>289</v>
      </c>
      <c r="E173" s="22" t="s">
        <v>289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305</v>
      </c>
      <c r="C174" s="22" t="s">
        <v>332</v>
      </c>
      <c r="D174" s="22" t="s">
        <v>305</v>
      </c>
      <c r="E174" s="22" t="s">
        <v>305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305</v>
      </c>
      <c r="C175" s="22" t="s">
        <v>352</v>
      </c>
      <c r="D175" s="22" t="s">
        <v>305</v>
      </c>
      <c r="E175" s="22" t="s">
        <v>305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305</v>
      </c>
      <c r="C176" s="22" t="s">
        <v>324</v>
      </c>
      <c r="D176" s="22" t="s">
        <v>305</v>
      </c>
      <c r="E176" s="22" t="s">
        <v>305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305</v>
      </c>
      <c r="C177" s="22" t="s">
        <v>306</v>
      </c>
      <c r="D177" s="22" t="s">
        <v>305</v>
      </c>
      <c r="E177" s="22" t="s">
        <v>305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312</v>
      </c>
      <c r="C178" s="22" t="s">
        <v>326</v>
      </c>
      <c r="D178" s="22" t="s">
        <v>312</v>
      </c>
      <c r="E178" s="22" t="s">
        <v>312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305</v>
      </c>
      <c r="C179" s="22" t="s">
        <v>348</v>
      </c>
      <c r="D179" s="22" t="s">
        <v>305</v>
      </c>
      <c r="E179" s="22" t="s">
        <v>305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289</v>
      </c>
      <c r="C180" s="22" t="s">
        <v>84</v>
      </c>
      <c r="D180" s="22" t="s">
        <v>289</v>
      </c>
      <c r="E180" s="22" t="s">
        <v>289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305</v>
      </c>
      <c r="C181" s="22" t="s">
        <v>352</v>
      </c>
      <c r="D181" s="22" t="s">
        <v>305</v>
      </c>
      <c r="E181" s="22" t="s">
        <v>305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254</v>
      </c>
      <c r="C182" s="16" t="s">
        <v>292</v>
      </c>
      <c r="D182" s="16" t="s">
        <v>248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289</v>
      </c>
      <c r="C183" s="22" t="s">
        <v>84</v>
      </c>
      <c r="D183" s="22" t="s">
        <v>289</v>
      </c>
      <c r="E183" s="22" t="s">
        <v>289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305</v>
      </c>
      <c r="C184" s="22" t="s">
        <v>314</v>
      </c>
      <c r="D184" s="22" t="s">
        <v>305</v>
      </c>
      <c r="E184" s="22" t="s">
        <v>305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289</v>
      </c>
      <c r="C185" s="22" t="s">
        <v>84</v>
      </c>
      <c r="D185" s="22" t="s">
        <v>289</v>
      </c>
      <c r="E185" s="22" t="s">
        <v>289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262</v>
      </c>
      <c r="C186" s="16" t="s">
        <v>304</v>
      </c>
      <c r="D186" s="16" t="s">
        <v>248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0</v>
      </c>
      <c r="K186" s="6" t="n">
        <v>0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305</v>
      </c>
      <c r="C187" s="22" t="s">
        <v>340</v>
      </c>
      <c r="D187" s="22" t="s">
        <v>305</v>
      </c>
      <c r="E187" s="22" t="s">
        <v>305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305</v>
      </c>
      <c r="C188" s="22" t="s">
        <v>352</v>
      </c>
      <c r="D188" s="22" t="s">
        <v>305</v>
      </c>
      <c r="E188" s="22" t="s">
        <v>305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305</v>
      </c>
      <c r="C189" s="22" t="s">
        <v>320</v>
      </c>
      <c r="D189" s="22" t="s">
        <v>305</v>
      </c>
      <c r="E189" s="22" t="s">
        <v>305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312</v>
      </c>
      <c r="C190" s="22" t="s">
        <v>342</v>
      </c>
      <c r="D190" s="22" t="s">
        <v>312</v>
      </c>
      <c r="E190" s="22" t="s">
        <v>312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305</v>
      </c>
      <c r="C191" s="22" t="s">
        <v>322</v>
      </c>
      <c r="D191" s="22" t="s">
        <v>305</v>
      </c>
      <c r="E191" s="22" t="s">
        <v>305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312</v>
      </c>
      <c r="C192" s="22" t="s">
        <v>343</v>
      </c>
      <c r="D192" s="22" t="s">
        <v>312</v>
      </c>
      <c r="E192" s="22" t="s">
        <v>312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305</v>
      </c>
      <c r="C193" s="22" t="s">
        <v>330</v>
      </c>
      <c r="D193" s="22" t="s">
        <v>305</v>
      </c>
      <c r="E193" s="22" t="s">
        <v>305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312</v>
      </c>
      <c r="C194" s="22" t="s">
        <v>329</v>
      </c>
      <c r="D194" s="22" t="s">
        <v>312</v>
      </c>
      <c r="E194" s="22" t="s">
        <v>312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305</v>
      </c>
      <c r="C195" s="22" t="s">
        <v>332</v>
      </c>
      <c r="D195" s="22" t="s">
        <v>305</v>
      </c>
      <c r="E195" s="22" t="s">
        <v>305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305</v>
      </c>
      <c r="C196" s="22" t="s">
        <v>346</v>
      </c>
      <c r="D196" s="22" t="s">
        <v>305</v>
      </c>
      <c r="E196" s="22" t="s">
        <v>305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305</v>
      </c>
      <c r="C197" s="22" t="s">
        <v>334</v>
      </c>
      <c r="D197" s="22" t="s">
        <v>305</v>
      </c>
      <c r="E197" s="22" t="s">
        <v>305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312</v>
      </c>
      <c r="C198" s="22" t="s">
        <v>353</v>
      </c>
      <c r="D198" s="22" t="s">
        <v>312</v>
      </c>
      <c r="E198" s="22" t="s">
        <v>312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305</v>
      </c>
      <c r="C199" s="22" t="s">
        <v>352</v>
      </c>
      <c r="D199" s="22" t="s">
        <v>305</v>
      </c>
      <c r="E199" s="22" t="s">
        <v>305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262</v>
      </c>
      <c r="C200" s="16" t="s">
        <v>304</v>
      </c>
      <c r="D200" s="16" t="s">
        <v>248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289</v>
      </c>
      <c r="C201" s="22" t="s">
        <v>84</v>
      </c>
      <c r="D201" s="22" t="s">
        <v>289</v>
      </c>
      <c r="E201" s="22" t="s">
        <v>289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305</v>
      </c>
      <c r="C202" s="22" t="s">
        <v>324</v>
      </c>
      <c r="D202" s="22" t="s">
        <v>305</v>
      </c>
      <c r="E202" s="22" t="s">
        <v>305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262</v>
      </c>
      <c r="C203" s="26" t="s">
        <v>304</v>
      </c>
      <c r="D203" s="26" t="s">
        <v>250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307</v>
      </c>
      <c r="C204" s="34" t="s">
        <v>354</v>
      </c>
      <c r="D204" s="34" t="s">
        <v>307</v>
      </c>
      <c r="E204" s="34" t="s">
        <v>307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307</v>
      </c>
      <c r="C205" s="34" t="s">
        <v>355</v>
      </c>
      <c r="D205" s="34" t="s">
        <v>307</v>
      </c>
      <c r="E205" s="34" t="s">
        <v>307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293</v>
      </c>
      <c r="C206" s="30" t="s">
        <v>85</v>
      </c>
      <c r="D206" s="30" t="s">
        <v>293</v>
      </c>
      <c r="E206" s="30" t="s">
        <v>293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0</v>
      </c>
      <c r="L206" s="32" t="n">
        <v>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289</v>
      </c>
      <c r="C207" s="22" t="s">
        <v>84</v>
      </c>
      <c r="D207" s="22" t="s">
        <v>289</v>
      </c>
      <c r="E207" s="22" t="s">
        <v>289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305</v>
      </c>
      <c r="C208" s="22" t="s">
        <v>336</v>
      </c>
      <c r="D208" s="22" t="s">
        <v>305</v>
      </c>
      <c r="E208" s="22" t="s">
        <v>305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307</v>
      </c>
      <c r="C209" s="34" t="s">
        <v>355</v>
      </c>
      <c r="D209" s="34" t="s">
        <v>307</v>
      </c>
      <c r="E209" s="34" t="s">
        <v>307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305</v>
      </c>
      <c r="C210" s="22" t="s">
        <v>306</v>
      </c>
      <c r="D210" s="22" t="s">
        <v>305</v>
      </c>
      <c r="E210" s="22" t="s">
        <v>305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305</v>
      </c>
      <c r="C211" s="22" t="s">
        <v>348</v>
      </c>
      <c r="D211" s="22" t="s">
        <v>305</v>
      </c>
      <c r="E211" s="22" t="s">
        <v>305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356</v>
      </c>
      <c r="D212" s="16" t="s">
        <v>248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0</v>
      </c>
      <c r="K212" s="6" t="n">
        <v>0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357</v>
      </c>
      <c r="D213" s="16" t="s">
        <v>248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0</v>
      </c>
      <c r="K213" s="6" t="n">
        <v>0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309</v>
      </c>
      <c r="D214" s="16" t="s">
        <v>248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305</v>
      </c>
      <c r="C215" s="22" t="s">
        <v>310</v>
      </c>
      <c r="D215" s="22" t="s">
        <v>305</v>
      </c>
      <c r="E215" s="22" t="s">
        <v>305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305</v>
      </c>
      <c r="C216" s="22" t="s">
        <v>352</v>
      </c>
      <c r="D216" s="22" t="s">
        <v>305</v>
      </c>
      <c r="E216" s="22" t="s">
        <v>305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305</v>
      </c>
      <c r="C217" s="22" t="s">
        <v>314</v>
      </c>
      <c r="D217" s="22" t="s">
        <v>305</v>
      </c>
      <c r="E217" s="22" t="s">
        <v>305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305</v>
      </c>
      <c r="C218" s="22" t="s">
        <v>358</v>
      </c>
      <c r="D218" s="22" t="s">
        <v>305</v>
      </c>
      <c r="E218" s="22" t="s">
        <v>305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305</v>
      </c>
      <c r="C219" s="22" t="s">
        <v>352</v>
      </c>
      <c r="D219" s="22" t="s">
        <v>305</v>
      </c>
      <c r="E219" s="22" t="s">
        <v>305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305</v>
      </c>
      <c r="C220" s="22" t="s">
        <v>316</v>
      </c>
      <c r="D220" s="22" t="s">
        <v>305</v>
      </c>
      <c r="E220" s="22" t="s">
        <v>305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305</v>
      </c>
      <c r="C221" s="22" t="s">
        <v>318</v>
      </c>
      <c r="D221" s="22" t="s">
        <v>305</v>
      </c>
      <c r="E221" s="22" t="s">
        <v>305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312</v>
      </c>
      <c r="C222" s="22" t="s">
        <v>359</v>
      </c>
      <c r="D222" s="22" t="s">
        <v>312</v>
      </c>
      <c r="E222" s="22" t="s">
        <v>312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65</v>
      </c>
      <c r="C223" s="16" t="s">
        <v>360</v>
      </c>
      <c r="D223" s="16" t="s">
        <v>248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57</v>
      </c>
      <c r="C224" s="16" t="s">
        <v>361</v>
      </c>
      <c r="D224" s="16" t="s">
        <v>248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61</v>
      </c>
      <c r="C225" s="16" t="s">
        <v>362</v>
      </c>
      <c r="D225" s="16" t="s">
        <v>248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254</v>
      </c>
      <c r="C226" s="26" t="s">
        <v>292</v>
      </c>
      <c r="D226" s="26" t="s">
        <v>250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305</v>
      </c>
      <c r="C227" s="22" t="s">
        <v>363</v>
      </c>
      <c r="D227" s="22" t="s">
        <v>305</v>
      </c>
      <c r="E227" s="22" t="s">
        <v>305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312</v>
      </c>
      <c r="C228" s="22" t="s">
        <v>342</v>
      </c>
      <c r="D228" s="22" t="s">
        <v>312</v>
      </c>
      <c r="E228" s="22" t="s">
        <v>312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305</v>
      </c>
      <c r="C229" s="22" t="s">
        <v>320</v>
      </c>
      <c r="D229" s="22" t="s">
        <v>305</v>
      </c>
      <c r="E229" s="22" t="s">
        <v>305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312</v>
      </c>
      <c r="C230" s="22" t="s">
        <v>343</v>
      </c>
      <c r="D230" s="22" t="s">
        <v>312</v>
      </c>
      <c r="E230" s="22" t="s">
        <v>312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356</v>
      </c>
      <c r="D231" s="16" t="s">
        <v>248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0</v>
      </c>
      <c r="K231" s="6" t="n">
        <v>0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305</v>
      </c>
      <c r="C232" s="22" t="s">
        <v>322</v>
      </c>
      <c r="D232" s="22" t="s">
        <v>305</v>
      </c>
      <c r="E232" s="22" t="s">
        <v>305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305</v>
      </c>
      <c r="C233" s="22" t="s">
        <v>364</v>
      </c>
      <c r="D233" s="22" t="s">
        <v>305</v>
      </c>
      <c r="E233" s="22" t="s">
        <v>305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305</v>
      </c>
      <c r="C234" s="22" t="s">
        <v>332</v>
      </c>
      <c r="D234" s="22" t="s">
        <v>305</v>
      </c>
      <c r="E234" s="22" t="s">
        <v>305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305</v>
      </c>
      <c r="C235" s="22" t="s">
        <v>352</v>
      </c>
      <c r="D235" s="22" t="s">
        <v>305</v>
      </c>
      <c r="E235" s="22" t="s">
        <v>305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305</v>
      </c>
      <c r="C236" s="22" t="s">
        <v>324</v>
      </c>
      <c r="D236" s="22" t="s">
        <v>305</v>
      </c>
      <c r="E236" s="22" t="s">
        <v>305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309</v>
      </c>
      <c r="D237" s="16" t="s">
        <v>248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305</v>
      </c>
      <c r="C238" s="22" t="s">
        <v>365</v>
      </c>
      <c r="D238" s="22" t="s">
        <v>305</v>
      </c>
      <c r="E238" s="22" t="s">
        <v>305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307</v>
      </c>
      <c r="C239" s="34" t="s">
        <v>366</v>
      </c>
      <c r="D239" s="34" t="s">
        <v>307</v>
      </c>
      <c r="E239" s="34" t="s">
        <v>307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305</v>
      </c>
      <c r="C240" s="22" t="s">
        <v>306</v>
      </c>
      <c r="D240" s="22" t="s">
        <v>305</v>
      </c>
      <c r="E240" s="22" t="s">
        <v>305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305</v>
      </c>
      <c r="C241" s="22" t="s">
        <v>364</v>
      </c>
      <c r="D241" s="22" t="s">
        <v>305</v>
      </c>
      <c r="E241" s="22" t="s">
        <v>305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309</v>
      </c>
      <c r="D242" s="16" t="s">
        <v>248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305</v>
      </c>
      <c r="C243" s="22" t="s">
        <v>348</v>
      </c>
      <c r="D243" s="22" t="s">
        <v>305</v>
      </c>
      <c r="E243" s="22" t="s">
        <v>305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309</v>
      </c>
      <c r="D244" s="16" t="s">
        <v>248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305</v>
      </c>
      <c r="C245" s="22" t="s">
        <v>352</v>
      </c>
      <c r="D245" s="22" t="s">
        <v>305</v>
      </c>
      <c r="E245" s="22" t="s">
        <v>305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305</v>
      </c>
      <c r="C246" s="22" t="s">
        <v>314</v>
      </c>
      <c r="D246" s="22" t="s">
        <v>305</v>
      </c>
      <c r="E246" s="22" t="s">
        <v>305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309</v>
      </c>
      <c r="D247" s="16" t="s">
        <v>248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305</v>
      </c>
      <c r="C248" s="22" t="s">
        <v>340</v>
      </c>
      <c r="D248" s="22" t="s">
        <v>305</v>
      </c>
      <c r="E248" s="22" t="s">
        <v>305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305</v>
      </c>
      <c r="C249" s="22" t="s">
        <v>364</v>
      </c>
      <c r="D249" s="22" t="s">
        <v>305</v>
      </c>
      <c r="E249" s="22" t="s">
        <v>305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305</v>
      </c>
      <c r="C250" s="22" t="s">
        <v>352</v>
      </c>
      <c r="D250" s="22" t="s">
        <v>305</v>
      </c>
      <c r="E250" s="22" t="s">
        <v>305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309</v>
      </c>
      <c r="D251" s="16" t="s">
        <v>248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305</v>
      </c>
      <c r="C252" s="22" t="s">
        <v>363</v>
      </c>
      <c r="D252" s="22" t="s">
        <v>305</v>
      </c>
      <c r="E252" s="22" t="s">
        <v>305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356</v>
      </c>
      <c r="D253" s="16" t="s">
        <v>248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312</v>
      </c>
      <c r="C254" s="22" t="s">
        <v>342</v>
      </c>
      <c r="D254" s="22" t="s">
        <v>312</v>
      </c>
      <c r="E254" s="22" t="s">
        <v>312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305</v>
      </c>
      <c r="C255" s="22" t="s">
        <v>320</v>
      </c>
      <c r="D255" s="22" t="s">
        <v>305</v>
      </c>
      <c r="E255" s="22" t="s">
        <v>305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305</v>
      </c>
      <c r="C256" s="22" t="s">
        <v>322</v>
      </c>
      <c r="D256" s="22" t="s">
        <v>305</v>
      </c>
      <c r="E256" s="22" t="s">
        <v>305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312</v>
      </c>
      <c r="C257" s="22" t="s">
        <v>343</v>
      </c>
      <c r="D257" s="22" t="s">
        <v>312</v>
      </c>
      <c r="E257" s="22" t="s">
        <v>312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309</v>
      </c>
      <c r="D258" s="16" t="s">
        <v>248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305</v>
      </c>
      <c r="C259" s="22" t="s">
        <v>364</v>
      </c>
      <c r="D259" s="22" t="s">
        <v>305</v>
      </c>
      <c r="E259" s="22" t="s">
        <v>305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305</v>
      </c>
      <c r="C260" s="22" t="s">
        <v>330</v>
      </c>
      <c r="D260" s="22" t="s">
        <v>305</v>
      </c>
      <c r="E260" s="22" t="s">
        <v>305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309</v>
      </c>
      <c r="D261" s="16" t="s">
        <v>248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305</v>
      </c>
      <c r="C262" s="22" t="s">
        <v>332</v>
      </c>
      <c r="D262" s="22" t="s">
        <v>305</v>
      </c>
      <c r="E262" s="22" t="s">
        <v>305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305</v>
      </c>
      <c r="C263" s="22" t="s">
        <v>346</v>
      </c>
      <c r="D263" s="22" t="s">
        <v>305</v>
      </c>
      <c r="E263" s="22" t="s">
        <v>305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305</v>
      </c>
      <c r="C264" s="22" t="s">
        <v>352</v>
      </c>
      <c r="D264" s="22" t="s">
        <v>305</v>
      </c>
      <c r="E264" s="22" t="s">
        <v>305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356</v>
      </c>
      <c r="D265" s="16" t="s">
        <v>248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357</v>
      </c>
      <c r="D266" s="16" t="s">
        <v>248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305</v>
      </c>
      <c r="C267" s="22" t="s">
        <v>324</v>
      </c>
      <c r="D267" s="22" t="s">
        <v>305</v>
      </c>
      <c r="E267" s="22" t="s">
        <v>305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312</v>
      </c>
      <c r="C268" s="22" t="s">
        <v>367</v>
      </c>
      <c r="D268" s="22" t="s">
        <v>312</v>
      </c>
      <c r="E268" s="22" t="s">
        <v>312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356</v>
      </c>
      <c r="D269" s="16" t="s">
        <v>248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356</v>
      </c>
      <c r="D270" s="16" t="s">
        <v>248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305</v>
      </c>
      <c r="C271" s="22" t="s">
        <v>336</v>
      </c>
      <c r="D271" s="22" t="s">
        <v>305</v>
      </c>
      <c r="E271" s="22" t="s">
        <v>305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356</v>
      </c>
      <c r="D272" s="16" t="s">
        <v>248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305</v>
      </c>
      <c r="C273" s="22" t="s">
        <v>306</v>
      </c>
      <c r="D273" s="22" t="s">
        <v>305</v>
      </c>
      <c r="E273" s="22" t="s">
        <v>305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312</v>
      </c>
      <c r="C274" s="22" t="s">
        <v>368</v>
      </c>
      <c r="D274" s="22" t="s">
        <v>312</v>
      </c>
      <c r="E274" s="22" t="s">
        <v>312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305</v>
      </c>
      <c r="C275" s="22" t="s">
        <v>364</v>
      </c>
      <c r="D275" s="22" t="s">
        <v>305</v>
      </c>
      <c r="E275" s="22" t="s">
        <v>305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356</v>
      </c>
      <c r="D276" s="16" t="s">
        <v>248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309</v>
      </c>
      <c r="D277" s="16" t="s">
        <v>248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305</v>
      </c>
      <c r="C278" s="22" t="s">
        <v>348</v>
      </c>
      <c r="D278" s="22" t="s">
        <v>305</v>
      </c>
      <c r="E278" s="22" t="s">
        <v>305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305</v>
      </c>
      <c r="C279" s="22" t="s">
        <v>352</v>
      </c>
      <c r="D279" s="22" t="s">
        <v>305</v>
      </c>
      <c r="E279" s="22" t="s">
        <v>305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305</v>
      </c>
      <c r="C280" s="22" t="s">
        <v>310</v>
      </c>
      <c r="D280" s="22" t="s">
        <v>305</v>
      </c>
      <c r="E280" s="22" t="s">
        <v>305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312</v>
      </c>
      <c r="C281" s="22" t="s">
        <v>369</v>
      </c>
      <c r="D281" s="22" t="s">
        <v>312</v>
      </c>
      <c r="E281" s="22" t="s">
        <v>312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309</v>
      </c>
      <c r="D282" s="16" t="s">
        <v>248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309</v>
      </c>
      <c r="D283" s="16" t="s">
        <v>248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305</v>
      </c>
      <c r="C284" s="22" t="s">
        <v>314</v>
      </c>
      <c r="D284" s="22" t="s">
        <v>305</v>
      </c>
      <c r="E284" s="22" t="s">
        <v>305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312</v>
      </c>
      <c r="C285" s="22" t="s">
        <v>370</v>
      </c>
      <c r="D285" s="22" t="s">
        <v>312</v>
      </c>
      <c r="E285" s="22" t="s">
        <v>312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309</v>
      </c>
      <c r="D286" s="16" t="s">
        <v>248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312</v>
      </c>
      <c r="C287" s="22" t="s">
        <v>368</v>
      </c>
      <c r="D287" s="22" t="s">
        <v>312</v>
      </c>
      <c r="E287" s="22" t="s">
        <v>312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305</v>
      </c>
      <c r="C288" s="22" t="s">
        <v>364</v>
      </c>
      <c r="D288" s="22" t="s">
        <v>305</v>
      </c>
      <c r="E288" s="22" t="s">
        <v>305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305</v>
      </c>
      <c r="C289" s="22" t="s">
        <v>340</v>
      </c>
      <c r="D289" s="22" t="s">
        <v>305</v>
      </c>
      <c r="E289" s="22" t="s">
        <v>305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309</v>
      </c>
      <c r="D290" s="16" t="s">
        <v>248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305</v>
      </c>
      <c r="C291" s="22" t="s">
        <v>352</v>
      </c>
      <c r="D291" s="22" t="s">
        <v>305</v>
      </c>
      <c r="E291" s="22" t="s">
        <v>305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309</v>
      </c>
      <c r="D292" s="16" t="s">
        <v>248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371</v>
      </c>
      <c r="C293" s="34" t="s">
        <v>372</v>
      </c>
      <c r="D293" s="34" t="s">
        <v>371</v>
      </c>
      <c r="E293" s="34" t="s">
        <v>371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254</v>
      </c>
      <c r="C294" s="26" t="s">
        <v>373</v>
      </c>
      <c r="D294" s="26" t="s">
        <v>250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309</v>
      </c>
      <c r="D295" s="16" t="s">
        <v>248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0</v>
      </c>
      <c r="K295" s="6" t="n">
        <v>0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305</v>
      </c>
      <c r="C296" s="22" t="s">
        <v>316</v>
      </c>
      <c r="D296" s="22" t="s">
        <v>305</v>
      </c>
      <c r="E296" s="22" t="s">
        <v>305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305</v>
      </c>
      <c r="C297" s="22" t="s">
        <v>374</v>
      </c>
      <c r="D297" s="22" t="s">
        <v>305</v>
      </c>
      <c r="E297" s="22" t="s">
        <v>305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356</v>
      </c>
      <c r="D298" s="16" t="s">
        <v>248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0</v>
      </c>
      <c r="K298" s="6" t="n">
        <v>0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309</v>
      </c>
      <c r="D299" s="16" t="s">
        <v>248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305</v>
      </c>
      <c r="C300" s="22" t="s">
        <v>363</v>
      </c>
      <c r="D300" s="22" t="s">
        <v>305</v>
      </c>
      <c r="E300" s="22" t="s">
        <v>305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312</v>
      </c>
      <c r="C301" s="22" t="s">
        <v>342</v>
      </c>
      <c r="D301" s="22" t="s">
        <v>312</v>
      </c>
      <c r="E301" s="22" t="s">
        <v>312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305</v>
      </c>
      <c r="C302" s="22" t="s">
        <v>320</v>
      </c>
      <c r="D302" s="22" t="s">
        <v>305</v>
      </c>
      <c r="E302" s="22" t="s">
        <v>305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356</v>
      </c>
      <c r="D303" s="16" t="s">
        <v>248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312</v>
      </c>
      <c r="C304" s="22" t="s">
        <v>343</v>
      </c>
      <c r="D304" s="22" t="s">
        <v>312</v>
      </c>
      <c r="E304" s="22" t="s">
        <v>312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305</v>
      </c>
      <c r="C305" s="22" t="s">
        <v>322</v>
      </c>
      <c r="D305" s="22" t="s">
        <v>305</v>
      </c>
      <c r="E305" s="22" t="s">
        <v>305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356</v>
      </c>
      <c r="D306" s="16" t="s">
        <v>248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305</v>
      </c>
      <c r="C307" s="22" t="s">
        <v>364</v>
      </c>
      <c r="D307" s="22" t="s">
        <v>305</v>
      </c>
      <c r="E307" s="22" t="s">
        <v>305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312</v>
      </c>
      <c r="C308" s="22" t="s">
        <v>368</v>
      </c>
      <c r="D308" s="22" t="s">
        <v>312</v>
      </c>
      <c r="E308" s="22" t="s">
        <v>312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356</v>
      </c>
      <c r="D309" s="16" t="s">
        <v>248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305</v>
      </c>
      <c r="C310" s="22" t="s">
        <v>332</v>
      </c>
      <c r="D310" s="22" t="s">
        <v>305</v>
      </c>
      <c r="E310" s="22" t="s">
        <v>305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356</v>
      </c>
      <c r="D311" s="16" t="s">
        <v>248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0</v>
      </c>
      <c r="K311" s="6" t="n">
        <v>0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305</v>
      </c>
      <c r="C312" s="22" t="s">
        <v>352</v>
      </c>
      <c r="D312" s="22" t="s">
        <v>305</v>
      </c>
      <c r="E312" s="22" t="s">
        <v>305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356</v>
      </c>
      <c r="D313" s="16" t="s">
        <v>248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0</v>
      </c>
      <c r="K313" s="6" t="n">
        <v>0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305</v>
      </c>
      <c r="C314" s="22" t="s">
        <v>306</v>
      </c>
      <c r="D314" s="22" t="s">
        <v>305</v>
      </c>
      <c r="E314" s="22" t="s">
        <v>305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312</v>
      </c>
      <c r="C315" s="22" t="s">
        <v>375</v>
      </c>
      <c r="D315" s="22" t="s">
        <v>312</v>
      </c>
      <c r="E315" s="22" t="s">
        <v>312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309</v>
      </c>
      <c r="D316" s="16" t="s">
        <v>248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309</v>
      </c>
      <c r="D317" s="16" t="s">
        <v>248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0</v>
      </c>
      <c r="K317" s="6" t="n">
        <v>0</v>
      </c>
      <c r="L317" s="6" t="n">
        <v>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305</v>
      </c>
      <c r="C318" s="22" t="s">
        <v>364</v>
      </c>
      <c r="D318" s="22" t="s">
        <v>305</v>
      </c>
      <c r="E318" s="22" t="s">
        <v>305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312</v>
      </c>
      <c r="C319" s="22" t="s">
        <v>368</v>
      </c>
      <c r="D319" s="22" t="s">
        <v>312</v>
      </c>
      <c r="E319" s="22" t="s">
        <v>312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376</v>
      </c>
      <c r="D320" s="16" t="s">
        <v>248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0</v>
      </c>
      <c r="K320" s="6" t="n">
        <v>0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377</v>
      </c>
      <c r="D321" s="16" t="s">
        <v>248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305</v>
      </c>
      <c r="C322" s="22" t="s">
        <v>352</v>
      </c>
      <c r="D322" s="22" t="s">
        <v>305</v>
      </c>
      <c r="E322" s="22" t="s">
        <v>305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305</v>
      </c>
      <c r="C323" s="22" t="s">
        <v>348</v>
      </c>
      <c r="D323" s="22" t="s">
        <v>305</v>
      </c>
      <c r="E323" s="22" t="s">
        <v>305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377</v>
      </c>
      <c r="D324" s="16" t="s">
        <v>248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305</v>
      </c>
      <c r="C325" s="22" t="s">
        <v>314</v>
      </c>
      <c r="D325" s="22" t="s">
        <v>305</v>
      </c>
      <c r="E325" s="22" t="s">
        <v>305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312</v>
      </c>
      <c r="C326" s="22" t="s">
        <v>370</v>
      </c>
      <c r="D326" s="22" t="s">
        <v>312</v>
      </c>
      <c r="E326" s="22" t="s">
        <v>312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305</v>
      </c>
      <c r="C327" s="22" t="s">
        <v>340</v>
      </c>
      <c r="D327" s="22" t="s">
        <v>305</v>
      </c>
      <c r="E327" s="22" t="s">
        <v>305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312</v>
      </c>
      <c r="C328" s="22" t="s">
        <v>368</v>
      </c>
      <c r="D328" s="22" t="s">
        <v>312</v>
      </c>
      <c r="E328" s="22" t="s">
        <v>312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305</v>
      </c>
      <c r="C329" s="22" t="s">
        <v>364</v>
      </c>
      <c r="D329" s="22" t="s">
        <v>305</v>
      </c>
      <c r="E329" s="22" t="s">
        <v>305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305</v>
      </c>
      <c r="C330" s="22" t="s">
        <v>352</v>
      </c>
      <c r="D330" s="22" t="s">
        <v>305</v>
      </c>
      <c r="E330" s="22" t="s">
        <v>305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305</v>
      </c>
      <c r="C331" s="22" t="s">
        <v>363</v>
      </c>
      <c r="D331" s="22" t="s">
        <v>305</v>
      </c>
      <c r="E331" s="22" t="s">
        <v>305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305</v>
      </c>
      <c r="C332" s="22" t="s">
        <v>320</v>
      </c>
      <c r="D332" s="22" t="s">
        <v>305</v>
      </c>
      <c r="E332" s="22" t="s">
        <v>305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312</v>
      </c>
      <c r="C333" s="22" t="s">
        <v>378</v>
      </c>
      <c r="D333" s="22" t="s">
        <v>312</v>
      </c>
      <c r="E333" s="22" t="s">
        <v>312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305</v>
      </c>
      <c r="C334" s="22" t="s">
        <v>322</v>
      </c>
      <c r="D334" s="22" t="s">
        <v>305</v>
      </c>
      <c r="E334" s="22" t="s">
        <v>305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312</v>
      </c>
      <c r="C335" s="22" t="s">
        <v>379</v>
      </c>
      <c r="D335" s="22" t="s">
        <v>312</v>
      </c>
      <c r="E335" s="22" t="s">
        <v>312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357</v>
      </c>
      <c r="D336" s="26" t="s">
        <v>250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253</v>
      </c>
      <c r="C337" s="16" t="s">
        <v>291</v>
      </c>
      <c r="D337" s="16" t="s">
        <v>248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0</v>
      </c>
      <c r="K337" s="6" t="n">
        <v>-19.84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305</v>
      </c>
      <c r="C338" s="22" t="s">
        <v>364</v>
      </c>
      <c r="D338" s="22" t="s">
        <v>305</v>
      </c>
      <c r="E338" s="22" t="s">
        <v>305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312</v>
      </c>
      <c r="C339" s="22" t="s">
        <v>368</v>
      </c>
      <c r="D339" s="22" t="s">
        <v>312</v>
      </c>
      <c r="E339" s="22" t="s">
        <v>312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253</v>
      </c>
      <c r="C340" s="16" t="s">
        <v>291</v>
      </c>
      <c r="D340" s="16" t="s">
        <v>248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0</v>
      </c>
      <c r="K340" s="6" t="n">
        <v>-0.51</v>
      </c>
      <c r="L340" s="6" t="n">
        <v>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305</v>
      </c>
      <c r="C341" s="22" t="s">
        <v>330</v>
      </c>
      <c r="D341" s="22" t="s">
        <v>305</v>
      </c>
      <c r="E341" s="22" t="s">
        <v>305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312</v>
      </c>
      <c r="C342" s="22" t="s">
        <v>380</v>
      </c>
      <c r="D342" s="22" t="s">
        <v>312</v>
      </c>
      <c r="E342" s="22" t="s">
        <v>312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253</v>
      </c>
      <c r="C343" s="16" t="s">
        <v>291</v>
      </c>
      <c r="D343" s="16" t="s">
        <v>248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0</v>
      </c>
      <c r="K343" s="6" t="n">
        <v>-1.53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305</v>
      </c>
      <c r="C344" s="22" t="s">
        <v>332</v>
      </c>
      <c r="D344" s="22" t="s">
        <v>305</v>
      </c>
      <c r="E344" s="22" t="s">
        <v>305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253</v>
      </c>
      <c r="C345" s="16" t="s">
        <v>291</v>
      </c>
      <c r="D345" s="16" t="s">
        <v>248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0</v>
      </c>
      <c r="K345" s="6" t="n">
        <v>-0.15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305</v>
      </c>
      <c r="C346" s="22" t="s">
        <v>352</v>
      </c>
      <c r="D346" s="22" t="s">
        <v>305</v>
      </c>
      <c r="E346" s="22" t="s">
        <v>305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305</v>
      </c>
      <c r="C347" s="22" t="s">
        <v>346</v>
      </c>
      <c r="D347" s="22" t="s">
        <v>305</v>
      </c>
      <c r="E347" s="22" t="s">
        <v>305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376</v>
      </c>
      <c r="D348" s="16" t="s">
        <v>248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0</v>
      </c>
      <c r="K348" s="6" t="n">
        <v>0</v>
      </c>
      <c r="L348" s="6" t="n">
        <v>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305</v>
      </c>
      <c r="C349" s="22" t="s">
        <v>336</v>
      </c>
      <c r="D349" s="22" t="s">
        <v>305</v>
      </c>
      <c r="E349" s="22" t="s">
        <v>305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381</v>
      </c>
      <c r="D350" s="16" t="s">
        <v>248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0</v>
      </c>
      <c r="K350" s="6" t="n">
        <v>0</v>
      </c>
      <c r="L350" s="6" t="n">
        <v>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289</v>
      </c>
      <c r="C351" s="22" t="s">
        <v>84</v>
      </c>
      <c r="D351" s="22" t="s">
        <v>289</v>
      </c>
      <c r="E351" s="22" t="s">
        <v>289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253</v>
      </c>
      <c r="C352" s="26" t="s">
        <v>291</v>
      </c>
      <c r="D352" s="26" t="s">
        <v>250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307</v>
      </c>
      <c r="C353" s="34" t="s">
        <v>355</v>
      </c>
      <c r="D353" s="34" t="s">
        <v>307</v>
      </c>
      <c r="E353" s="34" t="s">
        <v>307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0</v>
      </c>
      <c r="L353" s="36" t="n">
        <v>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376</v>
      </c>
      <c r="D354" s="16" t="s">
        <v>248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0</v>
      </c>
      <c r="K354" s="6" t="n">
        <v>0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312</v>
      </c>
      <c r="C355" s="22" t="s">
        <v>382</v>
      </c>
      <c r="D355" s="22" t="s">
        <v>312</v>
      </c>
      <c r="E355" s="22" t="s">
        <v>312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305</v>
      </c>
      <c r="C356" s="22" t="s">
        <v>348</v>
      </c>
      <c r="D356" s="22" t="s">
        <v>305</v>
      </c>
      <c r="E356" s="22" t="s">
        <v>305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376</v>
      </c>
      <c r="D357" s="16" t="s">
        <v>248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305</v>
      </c>
      <c r="C358" s="22" t="s">
        <v>364</v>
      </c>
      <c r="D358" s="22" t="s">
        <v>305</v>
      </c>
      <c r="E358" s="22" t="s">
        <v>305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312</v>
      </c>
      <c r="C359" s="22" t="s">
        <v>368</v>
      </c>
      <c r="D359" s="22" t="s">
        <v>312</v>
      </c>
      <c r="E359" s="22" t="s">
        <v>312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305</v>
      </c>
      <c r="C360" s="22" t="s">
        <v>352</v>
      </c>
      <c r="D360" s="22" t="s">
        <v>305</v>
      </c>
      <c r="E360" s="22" t="s">
        <v>305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376</v>
      </c>
      <c r="D361" s="16" t="s">
        <v>248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0</v>
      </c>
      <c r="K361" s="6" t="n">
        <v>0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305</v>
      </c>
      <c r="C362" s="22" t="s">
        <v>314</v>
      </c>
      <c r="D362" s="22" t="s">
        <v>305</v>
      </c>
      <c r="E362" s="22" t="s">
        <v>305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312</v>
      </c>
      <c r="C363" s="22" t="s">
        <v>370</v>
      </c>
      <c r="D363" s="22" t="s">
        <v>312</v>
      </c>
      <c r="E363" s="22" t="s">
        <v>312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381</v>
      </c>
      <c r="D364" s="16" t="s">
        <v>248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0</v>
      </c>
      <c r="K364" s="6" t="n">
        <v>0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305</v>
      </c>
      <c r="C365" s="22" t="s">
        <v>340</v>
      </c>
      <c r="D365" s="22" t="s">
        <v>305</v>
      </c>
      <c r="E365" s="22" t="s">
        <v>305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357</v>
      </c>
      <c r="D366" s="16" t="s">
        <v>248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305</v>
      </c>
      <c r="C367" s="22" t="s">
        <v>364</v>
      </c>
      <c r="D367" s="22" t="s">
        <v>305</v>
      </c>
      <c r="E367" s="22" t="s">
        <v>305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312</v>
      </c>
      <c r="C368" s="22" t="s">
        <v>368</v>
      </c>
      <c r="D368" s="22" t="s">
        <v>312</v>
      </c>
      <c r="E368" s="22" t="s">
        <v>312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305</v>
      </c>
      <c r="C369" s="22" t="s">
        <v>352</v>
      </c>
      <c r="D369" s="22" t="s">
        <v>305</v>
      </c>
      <c r="E369" s="22" t="s">
        <v>305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357</v>
      </c>
      <c r="D370" s="16" t="s">
        <v>248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357</v>
      </c>
      <c r="D371" s="16" t="s">
        <v>248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305</v>
      </c>
      <c r="C372" s="22" t="s">
        <v>365</v>
      </c>
      <c r="D372" s="22" t="s">
        <v>305</v>
      </c>
      <c r="E372" s="22" t="s">
        <v>305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307</v>
      </c>
      <c r="C373" s="34" t="s">
        <v>366</v>
      </c>
      <c r="D373" s="34" t="s">
        <v>307</v>
      </c>
      <c r="E373" s="34" t="s">
        <v>307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305</v>
      </c>
      <c r="C374" s="22" t="s">
        <v>316</v>
      </c>
      <c r="D374" s="22" t="s">
        <v>305</v>
      </c>
      <c r="E374" s="22" t="s">
        <v>305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305</v>
      </c>
      <c r="C375" s="22" t="s">
        <v>374</v>
      </c>
      <c r="D375" s="22" t="s">
        <v>305</v>
      </c>
      <c r="E375" s="22" t="s">
        <v>305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357</v>
      </c>
      <c r="D376" s="16" t="s">
        <v>248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305</v>
      </c>
      <c r="C377" s="22" t="s">
        <v>363</v>
      </c>
      <c r="D377" s="22" t="s">
        <v>305</v>
      </c>
      <c r="E377" s="22" t="s">
        <v>305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305</v>
      </c>
      <c r="C378" s="22" t="s">
        <v>364</v>
      </c>
      <c r="D378" s="22" t="s">
        <v>305</v>
      </c>
      <c r="E378" s="22" t="s">
        <v>305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312</v>
      </c>
      <c r="C379" s="22" t="s">
        <v>368</v>
      </c>
      <c r="D379" s="22" t="s">
        <v>312</v>
      </c>
      <c r="E379" s="22" t="s">
        <v>312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357</v>
      </c>
      <c r="D380" s="16" t="s">
        <v>248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305</v>
      </c>
      <c r="C381" s="22" t="s">
        <v>352</v>
      </c>
      <c r="D381" s="22" t="s">
        <v>305</v>
      </c>
      <c r="E381" s="22" t="s">
        <v>305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305</v>
      </c>
      <c r="C382" s="22" t="s">
        <v>332</v>
      </c>
      <c r="D382" s="22" t="s">
        <v>305</v>
      </c>
      <c r="E382" s="22" t="s">
        <v>305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312</v>
      </c>
      <c r="C383" s="22" t="s">
        <v>383</v>
      </c>
      <c r="D383" s="22" t="s">
        <v>312</v>
      </c>
      <c r="E383" s="22" t="s">
        <v>312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357</v>
      </c>
      <c r="D384" s="16" t="s">
        <v>248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312</v>
      </c>
      <c r="C385" s="22" t="s">
        <v>368</v>
      </c>
      <c r="D385" s="22" t="s">
        <v>312</v>
      </c>
      <c r="E385" s="22" t="s">
        <v>312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305</v>
      </c>
      <c r="C386" s="22" t="s">
        <v>364</v>
      </c>
      <c r="D386" s="22" t="s">
        <v>305</v>
      </c>
      <c r="E386" s="22" t="s">
        <v>305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289</v>
      </c>
      <c r="C387" s="22" t="s">
        <v>84</v>
      </c>
      <c r="D387" s="22" t="s">
        <v>289</v>
      </c>
      <c r="E387" s="22" t="s">
        <v>289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376</v>
      </c>
      <c r="D388" s="16" t="s">
        <v>248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0</v>
      </c>
      <c r="K388" s="6" t="n">
        <v>0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312</v>
      </c>
      <c r="C389" s="22" t="s">
        <v>370</v>
      </c>
      <c r="D389" s="22" t="s">
        <v>312</v>
      </c>
      <c r="E389" s="22" t="s">
        <v>312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305</v>
      </c>
      <c r="C390" s="22" t="s">
        <v>314</v>
      </c>
      <c r="D390" s="22" t="s">
        <v>305</v>
      </c>
      <c r="E390" s="22" t="s">
        <v>305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376</v>
      </c>
      <c r="D391" s="16" t="s">
        <v>248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254</v>
      </c>
      <c r="C392" s="26" t="s">
        <v>373</v>
      </c>
      <c r="D392" s="26" t="s">
        <v>250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381</v>
      </c>
      <c r="D393" s="26" t="s">
        <v>250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305</v>
      </c>
      <c r="C394" s="22" t="s">
        <v>340</v>
      </c>
      <c r="D394" s="22" t="s">
        <v>305</v>
      </c>
      <c r="E394" s="22" t="s">
        <v>305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305</v>
      </c>
      <c r="C395" s="22" t="s">
        <v>364</v>
      </c>
      <c r="D395" s="22" t="s">
        <v>305</v>
      </c>
      <c r="E395" s="22" t="s">
        <v>305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312</v>
      </c>
      <c r="C396" s="22" t="s">
        <v>368</v>
      </c>
      <c r="D396" s="22" t="s">
        <v>312</v>
      </c>
      <c r="E396" s="22" t="s">
        <v>312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376</v>
      </c>
      <c r="D397" s="16" t="s">
        <v>248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0</v>
      </c>
      <c r="K397" s="6" t="n">
        <v>0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305</v>
      </c>
      <c r="C398" s="22" t="s">
        <v>363</v>
      </c>
      <c r="D398" s="22" t="s">
        <v>305</v>
      </c>
      <c r="E398" s="22" t="s">
        <v>305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305</v>
      </c>
      <c r="C399" s="22" t="s">
        <v>364</v>
      </c>
      <c r="D399" s="22" t="s">
        <v>305</v>
      </c>
      <c r="E399" s="22" t="s">
        <v>305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312</v>
      </c>
      <c r="C400" s="22" t="s">
        <v>368</v>
      </c>
      <c r="D400" s="22" t="s">
        <v>312</v>
      </c>
      <c r="E400" s="22" t="s">
        <v>312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376</v>
      </c>
      <c r="D401" s="16" t="s">
        <v>248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0</v>
      </c>
      <c r="K401" s="6" t="n">
        <v>0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305</v>
      </c>
      <c r="C402" s="22" t="s">
        <v>346</v>
      </c>
      <c r="D402" s="22" t="s">
        <v>305</v>
      </c>
      <c r="E402" s="22" t="s">
        <v>305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305</v>
      </c>
      <c r="C403" s="22" t="s">
        <v>336</v>
      </c>
      <c r="D403" s="22" t="s">
        <v>305</v>
      </c>
      <c r="E403" s="22" t="s">
        <v>305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376</v>
      </c>
      <c r="D404" s="16" t="s">
        <v>248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0</v>
      </c>
      <c r="K404" s="6" t="n">
        <v>0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377</v>
      </c>
      <c r="D405" s="26" t="s">
        <v>250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265</v>
      </c>
      <c r="C406" s="26" t="s">
        <v>344</v>
      </c>
      <c r="D406" s="26" t="s">
        <v>250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305</v>
      </c>
      <c r="C407" s="22" t="s">
        <v>364</v>
      </c>
      <c r="D407" s="22" t="s">
        <v>305</v>
      </c>
      <c r="E407" s="22" t="s">
        <v>305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312</v>
      </c>
      <c r="C408" s="22" t="s">
        <v>368</v>
      </c>
      <c r="D408" s="22" t="s">
        <v>312</v>
      </c>
      <c r="E408" s="22" t="s">
        <v>312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384</v>
      </c>
      <c r="D409" s="16" t="s">
        <v>248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0</v>
      </c>
      <c r="K409" s="6" t="n">
        <v>0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312</v>
      </c>
      <c r="C410" s="22" t="s">
        <v>370</v>
      </c>
      <c r="D410" s="22" t="s">
        <v>312</v>
      </c>
      <c r="E410" s="22" t="s">
        <v>312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305</v>
      </c>
      <c r="C411" s="22" t="s">
        <v>314</v>
      </c>
      <c r="D411" s="22" t="s">
        <v>305</v>
      </c>
      <c r="E411" s="22" t="s">
        <v>305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376</v>
      </c>
      <c r="D412" s="16" t="s">
        <v>248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0</v>
      </c>
      <c r="K412" s="6" t="n">
        <v>0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305</v>
      </c>
      <c r="C413" s="22" t="s">
        <v>340</v>
      </c>
      <c r="D413" s="22" t="s">
        <v>305</v>
      </c>
      <c r="E413" s="22" t="s">
        <v>305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312</v>
      </c>
      <c r="C414" s="22" t="s">
        <v>368</v>
      </c>
      <c r="D414" s="22" t="s">
        <v>312</v>
      </c>
      <c r="E414" s="22" t="s">
        <v>312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305</v>
      </c>
      <c r="C415" s="22" t="s">
        <v>364</v>
      </c>
      <c r="D415" s="22" t="s">
        <v>305</v>
      </c>
      <c r="E415" s="22" t="s">
        <v>305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376</v>
      </c>
      <c r="D416" s="16" t="s">
        <v>248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0</v>
      </c>
      <c r="K416" s="6" t="n">
        <v>0</v>
      </c>
      <c r="L416" s="6" t="n">
        <v>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305</v>
      </c>
      <c r="C417" s="22" t="s">
        <v>316</v>
      </c>
      <c r="D417" s="22" t="s">
        <v>305</v>
      </c>
      <c r="E417" s="22" t="s">
        <v>305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305</v>
      </c>
      <c r="C418" s="22" t="s">
        <v>374</v>
      </c>
      <c r="D418" s="22" t="s">
        <v>305</v>
      </c>
      <c r="E418" s="22" t="s">
        <v>305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385</v>
      </c>
      <c r="D419" s="16" t="s">
        <v>248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0</v>
      </c>
      <c r="K419" s="6" t="n">
        <v>0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376</v>
      </c>
      <c r="D420" s="16" t="s">
        <v>248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0</v>
      </c>
      <c r="K420" s="6" t="n">
        <v>0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305</v>
      </c>
      <c r="C421" s="22" t="s">
        <v>363</v>
      </c>
      <c r="D421" s="22" t="s">
        <v>305</v>
      </c>
      <c r="E421" s="22" t="s">
        <v>305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312</v>
      </c>
      <c r="C422" s="22" t="s">
        <v>368</v>
      </c>
      <c r="D422" s="22" t="s">
        <v>312</v>
      </c>
      <c r="E422" s="22" t="s">
        <v>312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305</v>
      </c>
      <c r="C423" s="22" t="s">
        <v>364</v>
      </c>
      <c r="D423" s="22" t="s">
        <v>305</v>
      </c>
      <c r="E423" s="22" t="s">
        <v>305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376</v>
      </c>
      <c r="D424" s="16" t="s">
        <v>248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0</v>
      </c>
      <c r="K424" s="6" t="n">
        <v>0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289</v>
      </c>
      <c r="C425" s="22" t="s">
        <v>84</v>
      </c>
      <c r="D425" s="22" t="s">
        <v>289</v>
      </c>
      <c r="E425" s="22" t="s">
        <v>289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376</v>
      </c>
      <c r="D426" s="16" t="s">
        <v>248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0</v>
      </c>
      <c r="K426" s="6" t="n">
        <v>0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312</v>
      </c>
      <c r="C427" s="22" t="s">
        <v>368</v>
      </c>
      <c r="D427" s="22" t="s">
        <v>312</v>
      </c>
      <c r="E427" s="22" t="s">
        <v>312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305</v>
      </c>
      <c r="C428" s="22" t="s">
        <v>364</v>
      </c>
      <c r="D428" s="22" t="s">
        <v>305</v>
      </c>
      <c r="E428" s="22" t="s">
        <v>305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312</v>
      </c>
      <c r="C429" s="22" t="s">
        <v>370</v>
      </c>
      <c r="D429" s="22" t="s">
        <v>312</v>
      </c>
      <c r="E429" s="22" t="s">
        <v>312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305</v>
      </c>
      <c r="C430" s="22" t="s">
        <v>314</v>
      </c>
      <c r="D430" s="22" t="s">
        <v>305</v>
      </c>
      <c r="E430" s="22" t="s">
        <v>305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376</v>
      </c>
      <c r="D431" s="16" t="s">
        <v>248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0</v>
      </c>
      <c r="K431" s="6" t="n">
        <v>0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305</v>
      </c>
      <c r="C432" s="22" t="s">
        <v>340</v>
      </c>
      <c r="D432" s="22" t="s">
        <v>305</v>
      </c>
      <c r="E432" s="22" t="s">
        <v>305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312</v>
      </c>
      <c r="C433" s="22" t="s">
        <v>368</v>
      </c>
      <c r="D433" s="22" t="s">
        <v>312</v>
      </c>
      <c r="E433" s="22" t="s">
        <v>312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305</v>
      </c>
      <c r="C434" s="22" t="s">
        <v>364</v>
      </c>
      <c r="D434" s="22" t="s">
        <v>305</v>
      </c>
      <c r="E434" s="22" t="s">
        <v>305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376</v>
      </c>
      <c r="D435" s="16" t="s">
        <v>248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0</v>
      </c>
      <c r="K435" s="6" t="n">
        <v>0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305</v>
      </c>
      <c r="C436" s="22" t="s">
        <v>363</v>
      </c>
      <c r="D436" s="22" t="s">
        <v>305</v>
      </c>
      <c r="E436" s="22" t="s">
        <v>305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305</v>
      </c>
      <c r="C437" s="22" t="s">
        <v>364</v>
      </c>
      <c r="D437" s="22" t="s">
        <v>305</v>
      </c>
      <c r="E437" s="22" t="s">
        <v>305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312</v>
      </c>
      <c r="C438" s="22" t="s">
        <v>368</v>
      </c>
      <c r="D438" s="22" t="s">
        <v>312</v>
      </c>
      <c r="E438" s="22" t="s">
        <v>312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289</v>
      </c>
      <c r="C439" s="22" t="s">
        <v>84</v>
      </c>
      <c r="D439" s="22" t="s">
        <v>289</v>
      </c>
      <c r="E439" s="22" t="s">
        <v>289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385</v>
      </c>
      <c r="D440" s="16" t="s">
        <v>248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0</v>
      </c>
      <c r="K440" s="6" t="n">
        <v>0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376</v>
      </c>
      <c r="D441" s="16" t="s">
        <v>248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305</v>
      </c>
      <c r="C442" s="22" t="s">
        <v>346</v>
      </c>
      <c r="D442" s="22" t="s">
        <v>305</v>
      </c>
      <c r="E442" s="22" t="s">
        <v>305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376</v>
      </c>
      <c r="D443" s="16" t="s">
        <v>248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0</v>
      </c>
      <c r="K443" s="6" t="n">
        <v>0</v>
      </c>
      <c r="L443" s="6" t="n">
        <v>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21" t="n">
        <v>46009.453923611</v>
      </c>
      <c r="B444" s="22" t="s">
        <v>305</v>
      </c>
      <c r="C444" s="22" t="s">
        <v>336</v>
      </c>
      <c r="D444" s="22" t="s">
        <v>305</v>
      </c>
      <c r="E444" s="22" t="s">
        <v>305</v>
      </c>
      <c r="F444" s="22" t="s">
        <v>19</v>
      </c>
      <c r="G444" s="23" t="n">
        <v>1</v>
      </c>
      <c r="H444" s="24" t="n">
        <v>1</v>
      </c>
      <c r="I444" s="24" t="n">
        <v>224.48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/>
    </row>
    <row collapsed="false" customFormat="false" customHeight="false" hidden="false" ht="12.1" outlineLevel="0" r="445">
      <c r="A445" s="21" t="n">
        <v>46031.454074074</v>
      </c>
      <c r="B445" s="22" t="s">
        <v>289</v>
      </c>
      <c r="C445" s="22" t="s">
        <v>84</v>
      </c>
      <c r="D445" s="22" t="s">
        <v>289</v>
      </c>
      <c r="E445" s="22" t="s">
        <v>289</v>
      </c>
      <c r="F445" s="22" t="s">
        <v>19</v>
      </c>
      <c r="G445" s="23" t="n">
        <v>1</v>
      </c>
      <c r="H445" s="24" t="n">
        <v>1</v>
      </c>
      <c r="I445" s="24" t="n">
        <v>2691.01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</row>
    <row collapsed="false" customFormat="false" customHeight="false" hidden="false" ht="12.1" outlineLevel="0" r="446">
      <c r="A446" s="25" t="n">
        <v>46031.454641204</v>
      </c>
      <c r="B446" s="26" t="s">
        <v>27</v>
      </c>
      <c r="C446" s="26" t="s">
        <v>385</v>
      </c>
      <c r="D446" s="26" t="s">
        <v>250</v>
      </c>
      <c r="E446" s="26" t="s">
        <v>24</v>
      </c>
      <c r="F446" s="26" t="s">
        <v>19</v>
      </c>
      <c r="G446" s="27" t="n">
        <v>-17</v>
      </c>
      <c r="H446" s="28" t="n">
        <v>150.06</v>
      </c>
      <c r="I446" s="28" t="n">
        <v>2551.02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</row>
    <row collapsed="false" customFormat="false" customHeight="false" hidden="false" ht="12.1" outlineLevel="0" r="447">
      <c r="A447" s="33" t="n">
        <v>46031.454641204</v>
      </c>
      <c r="B447" s="34" t="s">
        <v>307</v>
      </c>
      <c r="C447" s="34" t="s">
        <v>355</v>
      </c>
      <c r="D447" s="34" t="s">
        <v>307</v>
      </c>
      <c r="E447" s="34" t="s">
        <v>307</v>
      </c>
      <c r="F447" s="34" t="s">
        <v>19</v>
      </c>
      <c r="G447" s="35" t="n">
        <v>1</v>
      </c>
      <c r="H447" s="36" t="n">
        <v>-241</v>
      </c>
      <c r="I447" s="36" t="n">
        <v>-241</v>
      </c>
      <c r="J447" s="36" t="n">
        <v>0</v>
      </c>
      <c r="K447" s="36" t="n">
        <v>0</v>
      </c>
      <c r="L447" s="36" t="n">
        <v>0</v>
      </c>
      <c r="M447" s="36"/>
      <c r="N447" s="6" t="s">
        <f>=I447+J447+K447+L447</f>
      </c>
      <c r="O447" s="34"/>
    </row>
    <row collapsed="false" customFormat="false" customHeight="false" hidden="false" ht="12.1" outlineLevel="0" r="448">
      <c r="A448" s="21" t="n">
        <v>46034.630266204</v>
      </c>
      <c r="B448" s="22" t="s">
        <v>305</v>
      </c>
      <c r="C448" s="22" t="s">
        <v>364</v>
      </c>
      <c r="D448" s="22" t="s">
        <v>305</v>
      </c>
      <c r="E448" s="22" t="s">
        <v>305</v>
      </c>
      <c r="F448" s="22" t="s">
        <v>19</v>
      </c>
      <c r="G448" s="23" t="n">
        <v>1</v>
      </c>
      <c r="H448" s="24" t="n">
        <v>1</v>
      </c>
      <c r="I448" s="24" t="n">
        <v>3.7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/>
    </row>
    <row collapsed="false" customFormat="false" customHeight="false" hidden="false" ht="12.1" outlineLevel="0" r="449">
      <c r="A449" s="21" t="n">
        <v>46034.816354167</v>
      </c>
      <c r="B449" s="22" t="s">
        <v>312</v>
      </c>
      <c r="C449" s="22" t="s">
        <v>368</v>
      </c>
      <c r="D449" s="22" t="s">
        <v>312</v>
      </c>
      <c r="E449" s="22" t="s">
        <v>312</v>
      </c>
      <c r="F449" s="22" t="s">
        <v>19</v>
      </c>
      <c r="G449" s="23" t="n">
        <v>1</v>
      </c>
      <c r="H449" s="24" t="n">
        <v>1</v>
      </c>
      <c r="I449" s="24" t="n">
        <v>57.36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/>
    </row>
    <row collapsed="false" customFormat="false" customHeight="false" hidden="false" ht="12.1" outlineLevel="0" r="450">
      <c r="A450" s="21" t="n">
        <v>46034.827986111</v>
      </c>
      <c r="B450" s="22" t="s">
        <v>305</v>
      </c>
      <c r="C450" s="22" t="s">
        <v>352</v>
      </c>
      <c r="D450" s="22" t="s">
        <v>305</v>
      </c>
      <c r="E450" s="22" t="s">
        <v>305</v>
      </c>
      <c r="F450" s="22" t="s">
        <v>19</v>
      </c>
      <c r="G450" s="23" t="n">
        <v>1</v>
      </c>
      <c r="H450" s="24" t="n">
        <v>1</v>
      </c>
      <c r="I450" s="24" t="n">
        <v>1.2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46035.576539352</v>
      </c>
      <c r="B451" s="16" t="s">
        <v>23</v>
      </c>
      <c r="C451" s="16" t="s">
        <v>376</v>
      </c>
      <c r="D451" s="16" t="s">
        <v>248</v>
      </c>
      <c r="E451" s="16" t="s">
        <v>24</v>
      </c>
      <c r="F451" s="16" t="s">
        <v>19</v>
      </c>
      <c r="G451" s="7" t="n">
        <v>507</v>
      </c>
      <c r="H451" s="6" t="n">
        <v>10.2</v>
      </c>
      <c r="I451" s="6" t="n">
        <v>-5171.4</v>
      </c>
      <c r="J451" s="6" t="n">
        <v>0</v>
      </c>
      <c r="K451" s="6" t="n">
        <v>0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46038.513449074</v>
      </c>
      <c r="B452" s="22" t="s">
        <v>305</v>
      </c>
      <c r="C452" s="22" t="s">
        <v>314</v>
      </c>
      <c r="D452" s="22" t="s">
        <v>305</v>
      </c>
      <c r="E452" s="22" t="s">
        <v>305</v>
      </c>
      <c r="F452" s="22" t="s">
        <v>19</v>
      </c>
      <c r="G452" s="23" t="n">
        <v>1</v>
      </c>
      <c r="H452" s="24" t="n">
        <v>1</v>
      </c>
      <c r="I452" s="24" t="n">
        <v>11.4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1" t="n">
        <v>46038.514293981</v>
      </c>
      <c r="B453" s="22" t="s">
        <v>312</v>
      </c>
      <c r="C453" s="22" t="s">
        <v>370</v>
      </c>
      <c r="D453" s="22" t="s">
        <v>312</v>
      </c>
      <c r="E453" s="22" t="s">
        <v>312</v>
      </c>
      <c r="F453" s="22" t="s">
        <v>19</v>
      </c>
      <c r="G453" s="23" t="n">
        <v>1</v>
      </c>
      <c r="H453" s="24" t="n">
        <v>1</v>
      </c>
      <c r="I453" s="24" t="n">
        <v>250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0" t="n">
        <v>46041.533368056</v>
      </c>
      <c r="B454" s="16" t="s">
        <v>23</v>
      </c>
      <c r="C454" s="16" t="s">
        <v>376</v>
      </c>
      <c r="D454" s="16" t="s">
        <v>248</v>
      </c>
      <c r="E454" s="16" t="s">
        <v>24</v>
      </c>
      <c r="F454" s="16" t="s">
        <v>19</v>
      </c>
      <c r="G454" s="7" t="n">
        <v>40</v>
      </c>
      <c r="H454" s="6" t="n">
        <v>10.08</v>
      </c>
      <c r="I454" s="6" t="n">
        <v>-403.2</v>
      </c>
      <c r="J454" s="6" t="n">
        <v>0</v>
      </c>
      <c r="K454" s="6" t="n">
        <v>0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46052.487291667</v>
      </c>
      <c r="B455" s="22" t="s">
        <v>305</v>
      </c>
      <c r="C455" s="22" t="s">
        <v>340</v>
      </c>
      <c r="D455" s="22" t="s">
        <v>305</v>
      </c>
      <c r="E455" s="22" t="s">
        <v>305</v>
      </c>
      <c r="F455" s="22" t="s">
        <v>19</v>
      </c>
      <c r="G455" s="23" t="n">
        <v>1</v>
      </c>
      <c r="H455" s="24" t="n">
        <v>1</v>
      </c>
      <c r="I455" s="24" t="n">
        <v>47.87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1" t="n">
        <v>46056.433576389</v>
      </c>
      <c r="B456" s="22" t="s">
        <v>305</v>
      </c>
      <c r="C456" s="22" t="s">
        <v>364</v>
      </c>
      <c r="D456" s="22" t="s">
        <v>305</v>
      </c>
      <c r="E456" s="22" t="s">
        <v>305</v>
      </c>
      <c r="F456" s="22" t="s">
        <v>19</v>
      </c>
      <c r="G456" s="23" t="n">
        <v>1</v>
      </c>
      <c r="H456" s="24" t="n">
        <v>1</v>
      </c>
      <c r="I456" s="24" t="n">
        <v>3.3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</row>
    <row collapsed="false" customFormat="false" customHeight="false" hidden="false" ht="12.1" outlineLevel="0" r="457">
      <c r="A457" s="21" t="n">
        <v>46056.433657407</v>
      </c>
      <c r="B457" s="22" t="s">
        <v>312</v>
      </c>
      <c r="C457" s="22" t="s">
        <v>368</v>
      </c>
      <c r="D457" s="22" t="s">
        <v>312</v>
      </c>
      <c r="E457" s="22" t="s">
        <v>312</v>
      </c>
      <c r="F457" s="22" t="s">
        <v>19</v>
      </c>
      <c r="G457" s="23" t="n">
        <v>1</v>
      </c>
      <c r="H457" s="24" t="n">
        <v>1</v>
      </c>
      <c r="I457" s="24" t="n">
        <v>63.66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/>
    </row>
    <row collapsed="false" customFormat="false" customHeight="false" hidden="false" ht="12.1" outlineLevel="0" r="458">
      <c r="A458" s="21" t="n">
        <v>46064.433113426</v>
      </c>
      <c r="B458" s="22" t="s">
        <v>305</v>
      </c>
      <c r="C458" s="22" t="s">
        <v>374</v>
      </c>
      <c r="D458" s="22" t="s">
        <v>305</v>
      </c>
      <c r="E458" s="22" t="s">
        <v>305</v>
      </c>
      <c r="F458" s="22" t="s">
        <v>19</v>
      </c>
      <c r="G458" s="23" t="n">
        <v>1</v>
      </c>
      <c r="H458" s="24" t="n">
        <v>1</v>
      </c>
      <c r="I458" s="24" t="n">
        <v>63.08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/>
    </row>
    <row collapsed="false" customFormat="false" customHeight="false" hidden="false" ht="12.1" outlineLevel="0" r="459">
      <c r="A459" s="21" t="n">
        <v>46064.591076389</v>
      </c>
      <c r="B459" s="22" t="s">
        <v>305</v>
      </c>
      <c r="C459" s="22" t="s">
        <v>316</v>
      </c>
      <c r="D459" s="22" t="s">
        <v>305</v>
      </c>
      <c r="E459" s="22" t="s">
        <v>305</v>
      </c>
      <c r="F459" s="22" t="s">
        <v>19</v>
      </c>
      <c r="G459" s="23" t="n">
        <v>1</v>
      </c>
      <c r="H459" s="24" t="n">
        <v>1</v>
      </c>
      <c r="I459" s="24" t="n">
        <v>259.28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0" t="n">
        <v>46069.441145833</v>
      </c>
      <c r="B460" s="16" t="s">
        <v>23</v>
      </c>
      <c r="C460" s="16" t="s">
        <v>376</v>
      </c>
      <c r="D460" s="16" t="s">
        <v>248</v>
      </c>
      <c r="E460" s="16" t="s">
        <v>24</v>
      </c>
      <c r="F460" s="16" t="s">
        <v>19</v>
      </c>
      <c r="G460" s="7" t="n">
        <v>40</v>
      </c>
      <c r="H460" s="6" t="n">
        <v>9.9</v>
      </c>
      <c r="I460" s="6" t="n">
        <v>-396</v>
      </c>
      <c r="J460" s="6" t="n">
        <v>0</v>
      </c>
      <c r="K460" s="6" t="n">
        <v>0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 t="s">
        <v>386</v>
      </c>
      <c r="M461" s="5" t="s">
        <f>=SUM(M2:M460)</f>
      </c>
      <c r="N461" s="5" t="s">
        <f>=SUM(N2:N460)</f>
      </c>
      <c r="O461" s="4"/>
    </row>
  </sheetData>
  <autoFilter ref="A1:O4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77</v>
      </c>
      <c r="B1" s="38" t="s">
        <v>387</v>
      </c>
      <c r="C1" s="38" t="s">
        <v>0</v>
      </c>
      <c r="D1" s="38" t="s">
        <v>2</v>
      </c>
      <c r="E1" s="38" t="s">
        <v>388</v>
      </c>
      <c r="F1" s="38" t="s">
        <v>3</v>
      </c>
      <c r="G1" s="38" t="s">
        <v>389</v>
      </c>
      <c r="H1" s="38" t="s">
        <v>390</v>
      </c>
      <c r="I1" s="38" t="s">
        <v>391</v>
      </c>
      <c r="J1" s="38" t="s">
        <v>392</v>
      </c>
      <c r="K1" s="38" t="s">
        <v>393</v>
      </c>
      <c r="L1" s="38" t="s">
        <v>394</v>
      </c>
      <c r="M1" s="38" t="s">
        <v>395</v>
      </c>
      <c r="N1" s="38" t="s">
        <v>396</v>
      </c>
    </row>
    <row collapsed="false" customFormat="false" customHeight="false" hidden="false" ht="12.1" outlineLevel="0" r="2">
      <c r="A2" s="37" t="n">
        <v>45317</v>
      </c>
      <c r="B2" s="16" t="s">
        <v>397</v>
      </c>
      <c r="C2" s="16" t="s">
        <v>265</v>
      </c>
      <c r="D2" s="16" t="s">
        <v>398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397</v>
      </c>
      <c r="C3" s="16" t="s">
        <v>265</v>
      </c>
      <c r="D3" s="16" t="s">
        <v>398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397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77</v>
      </c>
      <c r="B1" s="38" t="s">
        <v>387</v>
      </c>
      <c r="C1" s="38" t="s">
        <v>0</v>
      </c>
      <c r="D1" s="38" t="s">
        <v>2</v>
      </c>
      <c r="E1" s="38" t="s">
        <v>6</v>
      </c>
      <c r="F1" s="38" t="s">
        <v>388</v>
      </c>
      <c r="G1" s="38" t="s">
        <v>399</v>
      </c>
      <c r="H1" s="38" t="s">
        <v>392</v>
      </c>
      <c r="I1" s="38" t="s">
        <v>393</v>
      </c>
      <c r="J1" s="38" t="s">
        <v>394</v>
      </c>
    </row>
    <row collapsed="false" customFormat="false" customHeight="false" hidden="false" ht="12.1" outlineLevel="0" r="2">
      <c r="A2" s="39" t="n">
        <v>44742</v>
      </c>
      <c r="B2" s="16" t="s">
        <v>397</v>
      </c>
      <c r="C2" s="16" t="s">
        <v>257</v>
      </c>
      <c r="D2" s="16" t="s">
        <v>400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397</v>
      </c>
      <c r="C3" s="16" t="s">
        <v>258</v>
      </c>
      <c r="D3" s="16" t="s">
        <v>401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397</v>
      </c>
      <c r="C4" s="16" t="s">
        <v>69</v>
      </c>
      <c r="D4" s="16" t="s">
        <v>70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397</v>
      </c>
      <c r="C5" s="16" t="s">
        <v>50</v>
      </c>
      <c r="D5" s="16" t="s">
        <v>51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397</v>
      </c>
      <c r="C6" s="16" t="s">
        <v>261</v>
      </c>
      <c r="D6" s="16" t="s">
        <v>402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397</v>
      </c>
      <c r="C7" s="16" t="s">
        <v>255</v>
      </c>
      <c r="D7" s="16" t="s">
        <v>403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397</v>
      </c>
      <c r="C8" s="16" t="s">
        <v>256</v>
      </c>
      <c r="D8" s="16" t="s">
        <v>404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397</v>
      </c>
      <c r="C9" s="16" t="s">
        <v>260</v>
      </c>
      <c r="D9" s="16" t="s">
        <v>405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397</v>
      </c>
      <c r="C10" s="16" t="s">
        <v>257</v>
      </c>
      <c r="D10" s="16" t="s">
        <v>400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397</v>
      </c>
      <c r="C11" s="16" t="s">
        <v>69</v>
      </c>
      <c r="D11" s="16" t="s">
        <v>70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397</v>
      </c>
      <c r="C12" s="16" t="s">
        <v>255</v>
      </c>
      <c r="D12" s="16" t="s">
        <v>403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397</v>
      </c>
      <c r="C13" s="16" t="s">
        <v>256</v>
      </c>
      <c r="D13" s="16" t="s">
        <v>404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397</v>
      </c>
      <c r="C14" s="16" t="s">
        <v>259</v>
      </c>
      <c r="D14" s="16" t="s">
        <v>406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397</v>
      </c>
      <c r="C15" s="16" t="s">
        <v>264</v>
      </c>
      <c r="D15" s="16" t="s">
        <v>407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397</v>
      </c>
      <c r="C16" s="16" t="s">
        <v>263</v>
      </c>
      <c r="D16" s="16" t="s">
        <v>408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397</v>
      </c>
      <c r="C17" s="16" t="s">
        <v>260</v>
      </c>
      <c r="D17" s="16" t="s">
        <v>405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397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397</v>
      </c>
      <c r="C19" s="16" t="s">
        <v>257</v>
      </c>
      <c r="D19" s="16" t="s">
        <v>400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397</v>
      </c>
      <c r="C20" s="16" t="s">
        <v>258</v>
      </c>
      <c r="D20" s="16" t="s">
        <v>401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397</v>
      </c>
      <c r="C21" s="16" t="s">
        <v>69</v>
      </c>
      <c r="D21" s="16" t="s">
        <v>70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397</v>
      </c>
      <c r="C22" s="16" t="s">
        <v>54</v>
      </c>
      <c r="D22" s="16" t="s">
        <v>55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397</v>
      </c>
      <c r="C23" s="16" t="s">
        <v>50</v>
      </c>
      <c r="D23" s="16" t="s">
        <v>51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397</v>
      </c>
      <c r="C24" s="16" t="s">
        <v>261</v>
      </c>
      <c r="D24" s="16" t="s">
        <v>402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397</v>
      </c>
      <c r="C25" s="16" t="s">
        <v>255</v>
      </c>
      <c r="D25" s="16" t="s">
        <v>403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397</v>
      </c>
      <c r="C26" s="16" t="s">
        <v>256</v>
      </c>
      <c r="D26" s="16" t="s">
        <v>404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397</v>
      </c>
      <c r="C27" s="16" t="s">
        <v>264</v>
      </c>
      <c r="D27" s="16" t="s">
        <v>407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397</v>
      </c>
      <c r="C28" s="16" t="s">
        <v>260</v>
      </c>
      <c r="D28" s="16" t="s">
        <v>405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397</v>
      </c>
      <c r="C29" s="16" t="s">
        <v>257</v>
      </c>
      <c r="D29" s="16" t="s">
        <v>400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397</v>
      </c>
      <c r="C30" s="16" t="s">
        <v>69</v>
      </c>
      <c r="D30" s="16" t="s">
        <v>70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397</v>
      </c>
      <c r="C31" s="16" t="s">
        <v>54</v>
      </c>
      <c r="D31" s="16" t="s">
        <v>55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397</v>
      </c>
      <c r="C32" s="16" t="s">
        <v>255</v>
      </c>
      <c r="D32" s="16" t="s">
        <v>403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397</v>
      </c>
      <c r="C33" s="16" t="s">
        <v>256</v>
      </c>
      <c r="D33" s="16" t="s">
        <v>404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397</v>
      </c>
      <c r="C34" s="16" t="s">
        <v>259</v>
      </c>
      <c r="D34" s="16" t="s">
        <v>406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397</v>
      </c>
      <c r="C35" s="16" t="s">
        <v>264</v>
      </c>
      <c r="D35" s="16" t="s">
        <v>407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397</v>
      </c>
      <c r="C36" s="16" t="s">
        <v>46</v>
      </c>
      <c r="D36" s="16" t="s">
        <v>47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397</v>
      </c>
      <c r="C37" s="16" t="s">
        <v>263</v>
      </c>
      <c r="D37" s="16" t="s">
        <v>408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397</v>
      </c>
      <c r="C38" s="16" t="s">
        <v>260</v>
      </c>
      <c r="D38" s="16" t="s">
        <v>405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397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397</v>
      </c>
      <c r="C40" s="16" t="s">
        <v>257</v>
      </c>
      <c r="D40" s="16" t="s">
        <v>400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397</v>
      </c>
      <c r="C41" s="16" t="s">
        <v>266</v>
      </c>
      <c r="D41" s="16" t="s">
        <v>409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397</v>
      </c>
      <c r="C42" s="16" t="s">
        <v>258</v>
      </c>
      <c r="D42" s="16" t="s">
        <v>401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397</v>
      </c>
      <c r="C43" s="16" t="s">
        <v>69</v>
      </c>
      <c r="D43" s="16" t="s">
        <v>70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397</v>
      </c>
      <c r="C44" s="16" t="s">
        <v>54</v>
      </c>
      <c r="D44" s="16" t="s">
        <v>55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397</v>
      </c>
      <c r="C45" s="16" t="s">
        <v>267</v>
      </c>
      <c r="D45" s="16" t="s">
        <v>410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397</v>
      </c>
      <c r="C46" s="16" t="s">
        <v>50</v>
      </c>
      <c r="D46" s="16" t="s">
        <v>51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397</v>
      </c>
      <c r="C47" s="16" t="s">
        <v>261</v>
      </c>
      <c r="D47" s="16" t="s">
        <v>402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397</v>
      </c>
      <c r="C48" s="16" t="s">
        <v>255</v>
      </c>
      <c r="D48" s="16" t="s">
        <v>403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397</v>
      </c>
      <c r="C49" s="16" t="s">
        <v>256</v>
      </c>
      <c r="D49" s="16" t="s">
        <v>404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397</v>
      </c>
      <c r="C50" s="16" t="s">
        <v>264</v>
      </c>
      <c r="D50" s="16" t="s">
        <v>407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397</v>
      </c>
      <c r="C51" s="16" t="s">
        <v>267</v>
      </c>
      <c r="D51" s="16" t="s">
        <v>410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397</v>
      </c>
      <c r="C52" s="16" t="s">
        <v>260</v>
      </c>
      <c r="D52" s="16" t="s">
        <v>405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397</v>
      </c>
      <c r="C53" s="16" t="s">
        <v>257</v>
      </c>
      <c r="D53" s="16" t="s">
        <v>400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397</v>
      </c>
      <c r="C54" s="16" t="s">
        <v>266</v>
      </c>
      <c r="D54" s="16" t="s">
        <v>409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397</v>
      </c>
      <c r="C55" s="16" t="s">
        <v>267</v>
      </c>
      <c r="D55" s="16" t="s">
        <v>410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397</v>
      </c>
      <c r="C56" s="16" t="s">
        <v>69</v>
      </c>
      <c r="D56" s="16" t="s">
        <v>70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397</v>
      </c>
      <c r="C57" s="16" t="s">
        <v>54</v>
      </c>
      <c r="D57" s="16" t="s">
        <v>55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397</v>
      </c>
      <c r="C58" s="16" t="s">
        <v>267</v>
      </c>
      <c r="D58" s="16" t="s">
        <v>410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397</v>
      </c>
      <c r="C59" s="16" t="s">
        <v>255</v>
      </c>
      <c r="D59" s="16" t="s">
        <v>403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397</v>
      </c>
      <c r="C60" s="16" t="s">
        <v>256</v>
      </c>
      <c r="D60" s="16" t="s">
        <v>404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397</v>
      </c>
      <c r="C61" s="16" t="s">
        <v>259</v>
      </c>
      <c r="D61" s="16" t="s">
        <v>406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397</v>
      </c>
      <c r="C62" s="16" t="s">
        <v>264</v>
      </c>
      <c r="D62" s="16" t="s">
        <v>407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397</v>
      </c>
      <c r="C63" s="16" t="s">
        <v>46</v>
      </c>
      <c r="D63" s="16" t="s">
        <v>47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397</v>
      </c>
      <c r="C64" s="16" t="s">
        <v>267</v>
      </c>
      <c r="D64" s="16" t="s">
        <v>410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45271</v>
      </c>
      <c r="B65" s="16" t="s">
        <v>397</v>
      </c>
      <c r="C65" s="16" t="s">
        <v>263</v>
      </c>
      <c r="D65" s="16" t="s">
        <v>408</v>
      </c>
      <c r="E65" s="6" t="n">
        <v>1000</v>
      </c>
      <c r="F65" s="7" t="n">
        <v>1</v>
      </c>
      <c r="G65" s="6" t="n">
        <v>33.66</v>
      </c>
      <c r="H65" s="6" t="n">
        <v>4</v>
      </c>
      <c r="I65" s="6" t="n">
        <v>33.66</v>
      </c>
      <c r="J65" s="6" t="n">
        <v>29.66</v>
      </c>
    </row>
    <row collapsed="false" customFormat="false" customHeight="false" hidden="false" ht="12.1" outlineLevel="0" r="66">
      <c r="A66" s="39" t="n">
        <v>45273</v>
      </c>
      <c r="B66" s="16" t="s">
        <v>397</v>
      </c>
      <c r="C66" s="16" t="s">
        <v>260</v>
      </c>
      <c r="D66" s="16" t="s">
        <v>405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397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397</v>
      </c>
      <c r="C68" s="16" t="s">
        <v>257</v>
      </c>
      <c r="D68" s="16" t="s">
        <v>400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397</v>
      </c>
      <c r="C69" s="16" t="s">
        <v>266</v>
      </c>
      <c r="D69" s="16" t="s">
        <v>409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397</v>
      </c>
      <c r="C70" s="16" t="s">
        <v>258</v>
      </c>
      <c r="D70" s="16" t="s">
        <v>401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397</v>
      </c>
      <c r="C71" s="16" t="s">
        <v>267</v>
      </c>
      <c r="D71" s="16" t="s">
        <v>410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397</v>
      </c>
      <c r="C72" s="16" t="s">
        <v>69</v>
      </c>
      <c r="D72" s="16" t="s">
        <v>70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397</v>
      </c>
      <c r="C73" s="16" t="s">
        <v>54</v>
      </c>
      <c r="D73" s="16" t="s">
        <v>55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397</v>
      </c>
      <c r="C74" s="16" t="s">
        <v>267</v>
      </c>
      <c r="D74" s="16" t="s">
        <v>410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397</v>
      </c>
      <c r="C75" s="16" t="s">
        <v>50</v>
      </c>
      <c r="D75" s="16" t="s">
        <v>51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397</v>
      </c>
      <c r="C76" s="16" t="s">
        <v>261</v>
      </c>
      <c r="D76" s="16" t="s">
        <v>402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397</v>
      </c>
      <c r="C77" s="16" t="s">
        <v>61</v>
      </c>
      <c r="D77" s="16" t="s">
        <v>62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397</v>
      </c>
      <c r="C78" s="16" t="s">
        <v>255</v>
      </c>
      <c r="D78" s="16" t="s">
        <v>403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397</v>
      </c>
      <c r="C79" s="16" t="s">
        <v>256</v>
      </c>
      <c r="D79" s="16" t="s">
        <v>404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397</v>
      </c>
      <c r="C80" s="16" t="s">
        <v>65</v>
      </c>
      <c r="D80" s="16" t="s">
        <v>66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397</v>
      </c>
      <c r="C81" s="16" t="s">
        <v>264</v>
      </c>
      <c r="D81" s="16" t="s">
        <v>407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397</v>
      </c>
      <c r="C82" s="16" t="s">
        <v>267</v>
      </c>
      <c r="D82" s="16" t="s">
        <v>410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397</v>
      </c>
      <c r="C83" s="16" t="s">
        <v>260</v>
      </c>
      <c r="D83" s="16" t="s">
        <v>405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397</v>
      </c>
      <c r="C84" s="16" t="s">
        <v>257</v>
      </c>
      <c r="D84" s="16" t="s">
        <v>400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397</v>
      </c>
      <c r="C85" s="16" t="s">
        <v>65</v>
      </c>
      <c r="D85" s="16" t="s">
        <v>66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397</v>
      </c>
      <c r="C86" s="16" t="s">
        <v>266</v>
      </c>
      <c r="D86" s="16" t="s">
        <v>409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397</v>
      </c>
      <c r="C87" s="16" t="s">
        <v>267</v>
      </c>
      <c r="D87" s="16" t="s">
        <v>410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397</v>
      </c>
      <c r="C88" s="16" t="s">
        <v>69</v>
      </c>
      <c r="D88" s="16" t="s">
        <v>70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397</v>
      </c>
      <c r="C89" s="16" t="s">
        <v>65</v>
      </c>
      <c r="D89" s="16" t="s">
        <v>66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397</v>
      </c>
      <c r="C90" s="16" t="s">
        <v>54</v>
      </c>
      <c r="D90" s="16" t="s">
        <v>55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397</v>
      </c>
      <c r="C91" s="16" t="s">
        <v>267</v>
      </c>
      <c r="D91" s="16" t="s">
        <v>410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397</v>
      </c>
      <c r="C92" s="16" t="s">
        <v>61</v>
      </c>
      <c r="D92" s="16" t="s">
        <v>62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397</v>
      </c>
      <c r="C93" s="16" t="s">
        <v>255</v>
      </c>
      <c r="D93" s="16" t="s">
        <v>403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397</v>
      </c>
      <c r="C94" s="16" t="s">
        <v>256</v>
      </c>
      <c r="D94" s="16" t="s">
        <v>404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397</v>
      </c>
      <c r="C95" s="16" t="s">
        <v>65</v>
      </c>
      <c r="D95" s="16" t="s">
        <v>66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397</v>
      </c>
      <c r="C96" s="16" t="s">
        <v>259</v>
      </c>
      <c r="D96" s="16" t="s">
        <v>406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397</v>
      </c>
      <c r="C97" s="16" t="s">
        <v>264</v>
      </c>
      <c r="D97" s="16" t="s">
        <v>407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397</v>
      </c>
      <c r="C98" s="16" t="s">
        <v>267</v>
      </c>
      <c r="D98" s="16" t="s">
        <v>410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397</v>
      </c>
      <c r="C99" s="16" t="s">
        <v>46</v>
      </c>
      <c r="D99" s="16" t="s">
        <v>47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397</v>
      </c>
      <c r="C100" s="16" t="s">
        <v>260</v>
      </c>
      <c r="D100" s="16" t="s">
        <v>405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397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397</v>
      </c>
      <c r="C102" s="16" t="s">
        <v>257</v>
      </c>
      <c r="D102" s="16" t="s">
        <v>400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397</v>
      </c>
      <c r="C103" s="16" t="s">
        <v>65</v>
      </c>
      <c r="D103" s="16" t="s">
        <v>66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397</v>
      </c>
      <c r="C104" s="16" t="s">
        <v>267</v>
      </c>
      <c r="D104" s="16" t="s">
        <v>410</v>
      </c>
      <c r="E104" s="6" t="n">
        <v>1000</v>
      </c>
      <c r="F104" s="7" t="n">
        <v>2</v>
      </c>
      <c r="G104" s="6" t="n">
        <v>10.68</v>
      </c>
      <c r="H104" s="6" t="n">
        <v>3</v>
      </c>
      <c r="I104" s="6" t="n">
        <v>21.36</v>
      </c>
      <c r="J104" s="6" t="n">
        <v>18.36</v>
      </c>
    </row>
    <row collapsed="false" customFormat="false" customHeight="false" hidden="false" ht="12.1" outlineLevel="0" r="105">
      <c r="A105" s="39" t="n">
        <v>45481</v>
      </c>
      <c r="B105" s="16" t="s">
        <v>397</v>
      </c>
      <c r="C105" s="16" t="s">
        <v>266</v>
      </c>
      <c r="D105" s="16" t="s">
        <v>409</v>
      </c>
      <c r="E105" s="6" t="n">
        <v>1000</v>
      </c>
      <c r="F105" s="7" t="n">
        <v>2</v>
      </c>
      <c r="G105" s="6" t="n">
        <v>44.88</v>
      </c>
      <c r="H105" s="6" t="n">
        <v>12</v>
      </c>
      <c r="I105" s="6" t="n">
        <v>89.76</v>
      </c>
      <c r="J105" s="6" t="n">
        <v>77.76</v>
      </c>
    </row>
    <row collapsed="false" customFormat="false" customHeight="false" hidden="false" ht="12.1" outlineLevel="0" r="106">
      <c r="A106" s="39" t="n">
        <v>45482</v>
      </c>
      <c r="B106" s="16" t="s">
        <v>397</v>
      </c>
      <c r="C106" s="16" t="s">
        <v>258</v>
      </c>
      <c r="D106" s="16" t="s">
        <v>401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397</v>
      </c>
      <c r="C107" s="16" t="s">
        <v>69</v>
      </c>
      <c r="D107" s="16" t="s">
        <v>70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397</v>
      </c>
      <c r="C108" s="16" t="s">
        <v>54</v>
      </c>
      <c r="D108" s="16" t="s">
        <v>55</v>
      </c>
      <c r="E108" s="6" t="n">
        <v>1000</v>
      </c>
      <c r="F108" s="7" t="n">
        <v>1</v>
      </c>
      <c r="G108" s="6" t="n">
        <v>45.38</v>
      </c>
      <c r="H108" s="6" t="n">
        <v>6</v>
      </c>
      <c r="I108" s="6" t="n">
        <v>45.38</v>
      </c>
      <c r="J108" s="6" t="n">
        <v>39.38</v>
      </c>
    </row>
    <row collapsed="false" customFormat="false" customHeight="false" hidden="false" ht="12.1" outlineLevel="0" r="109">
      <c r="A109" s="39" t="n">
        <v>45504</v>
      </c>
      <c r="B109" s="16" t="s">
        <v>397</v>
      </c>
      <c r="C109" s="16" t="s">
        <v>65</v>
      </c>
      <c r="D109" s="16" t="s">
        <v>66</v>
      </c>
      <c r="E109" s="6" t="n">
        <v>942.27</v>
      </c>
      <c r="F109" s="7" t="n">
        <v>2</v>
      </c>
      <c r="G109" s="6" t="n">
        <v>6.4</v>
      </c>
      <c r="H109" s="6" t="n">
        <v>2</v>
      </c>
      <c r="I109" s="6" t="n">
        <v>12.8</v>
      </c>
      <c r="J109" s="6" t="n">
        <v>10.8</v>
      </c>
    </row>
    <row collapsed="false" customFormat="false" customHeight="false" hidden="false" ht="12.1" outlineLevel="0" r="110">
      <c r="A110" s="39" t="n">
        <v>45511</v>
      </c>
      <c r="B110" s="16" t="s">
        <v>397</v>
      </c>
      <c r="C110" s="16" t="s">
        <v>267</v>
      </c>
      <c r="D110" s="16" t="s">
        <v>410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397</v>
      </c>
      <c r="C111" s="16" t="s">
        <v>50</v>
      </c>
      <c r="D111" s="16" t="s">
        <v>51</v>
      </c>
      <c r="E111" s="6" t="n">
        <v>1000</v>
      </c>
      <c r="F111" s="7" t="n">
        <v>2</v>
      </c>
      <c r="G111" s="6" t="n">
        <v>63.33</v>
      </c>
      <c r="H111" s="6" t="n">
        <v>16</v>
      </c>
      <c r="I111" s="6" t="n">
        <v>126.66</v>
      </c>
      <c r="J111" s="6" t="n">
        <v>110.66</v>
      </c>
    </row>
    <row collapsed="false" customFormat="false" customHeight="false" hidden="false" ht="12.1" outlineLevel="0" r="112">
      <c r="A112" s="39" t="n">
        <v>45516</v>
      </c>
      <c r="B112" s="16" t="s">
        <v>397</v>
      </c>
      <c r="C112" s="16" t="s">
        <v>57</v>
      </c>
      <c r="D112" s="16" t="s">
        <v>58</v>
      </c>
      <c r="E112" s="6" t="n">
        <v>1000</v>
      </c>
      <c r="F112" s="7" t="n">
        <v>1</v>
      </c>
      <c r="G112" s="6" t="n">
        <v>63.08</v>
      </c>
      <c r="H112" s="6" t="n">
        <v>8</v>
      </c>
      <c r="I112" s="6" t="n">
        <v>63.08</v>
      </c>
      <c r="J112" s="6" t="n">
        <v>55.08</v>
      </c>
    </row>
    <row collapsed="false" customFormat="false" customHeight="false" hidden="false" ht="12.1" outlineLevel="0" r="113">
      <c r="A113" s="39" t="n">
        <v>45529</v>
      </c>
      <c r="B113" s="16" t="s">
        <v>397</v>
      </c>
      <c r="C113" s="16" t="s">
        <v>61</v>
      </c>
      <c r="D113" s="16" t="s">
        <v>62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397</v>
      </c>
      <c r="C114" s="16" t="s">
        <v>255</v>
      </c>
      <c r="D114" s="16" t="s">
        <v>403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397</v>
      </c>
      <c r="C115" s="16" t="s">
        <v>256</v>
      </c>
      <c r="D115" s="16" t="s">
        <v>404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397</v>
      </c>
      <c r="C116" s="16" t="s">
        <v>65</v>
      </c>
      <c r="D116" s="16" t="s">
        <v>66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397</v>
      </c>
      <c r="C117" s="16" t="s">
        <v>264</v>
      </c>
      <c r="D117" s="16" t="s">
        <v>407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397</v>
      </c>
      <c r="C118" s="16" t="s">
        <v>267</v>
      </c>
      <c r="D118" s="16" t="s">
        <v>410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397</v>
      </c>
      <c r="C119" s="16" t="s">
        <v>257</v>
      </c>
      <c r="D119" s="16" t="s">
        <v>400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397</v>
      </c>
      <c r="C120" s="16" t="s">
        <v>65</v>
      </c>
      <c r="D120" s="16" t="s">
        <v>66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397</v>
      </c>
      <c r="C121" s="16" t="s">
        <v>267</v>
      </c>
      <c r="D121" s="16" t="s">
        <v>410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397</v>
      </c>
      <c r="C122" s="16" t="s">
        <v>266</v>
      </c>
      <c r="D122" s="16" t="s">
        <v>409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397</v>
      </c>
      <c r="C123" s="16" t="s">
        <v>69</v>
      </c>
      <c r="D123" s="16" t="s">
        <v>70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397</v>
      </c>
      <c r="C124" s="16" t="s">
        <v>54</v>
      </c>
      <c r="D124" s="16" t="s">
        <v>55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397</v>
      </c>
      <c r="C125" s="16" t="s">
        <v>65</v>
      </c>
      <c r="D125" s="16" t="s">
        <v>66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397</v>
      </c>
      <c r="C126" s="16" t="s">
        <v>267</v>
      </c>
      <c r="D126" s="16" t="s">
        <v>410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397</v>
      </c>
      <c r="C127" s="16" t="s">
        <v>61</v>
      </c>
      <c r="D127" s="16" t="s">
        <v>62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397</v>
      </c>
      <c r="C128" s="16" t="s">
        <v>255</v>
      </c>
      <c r="D128" s="16" t="s">
        <v>403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397</v>
      </c>
      <c r="C129" s="16" t="s">
        <v>256</v>
      </c>
      <c r="D129" s="16" t="s">
        <v>404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397</v>
      </c>
      <c r="C130" s="16" t="s">
        <v>65</v>
      </c>
      <c r="D130" s="16" t="s">
        <v>66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397</v>
      </c>
      <c r="C131" s="16" t="s">
        <v>259</v>
      </c>
      <c r="D131" s="16" t="s">
        <v>406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397</v>
      </c>
      <c r="C132" s="16" t="s">
        <v>264</v>
      </c>
      <c r="D132" s="16" t="s">
        <v>407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397</v>
      </c>
      <c r="C133" s="16" t="s">
        <v>267</v>
      </c>
      <c r="D133" s="16" t="s">
        <v>410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397</v>
      </c>
      <c r="C134" s="16" t="s">
        <v>46</v>
      </c>
      <c r="D134" s="16" t="s">
        <v>47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397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397</v>
      </c>
      <c r="C136" s="16" t="s">
        <v>65</v>
      </c>
      <c r="D136" s="16" t="s">
        <v>66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397</v>
      </c>
      <c r="C137" s="16" t="s">
        <v>267</v>
      </c>
      <c r="D137" s="16" t="s">
        <v>410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397</v>
      </c>
      <c r="C138" s="16" t="s">
        <v>266</v>
      </c>
      <c r="D138" s="16" t="s">
        <v>409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397</v>
      </c>
      <c r="C139" s="16" t="s">
        <v>69</v>
      </c>
      <c r="D139" s="16" t="s">
        <v>70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397</v>
      </c>
      <c r="C140" s="16" t="s">
        <v>54</v>
      </c>
      <c r="D140" s="16" t="s">
        <v>55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397</v>
      </c>
      <c r="C141" s="16" t="s">
        <v>65</v>
      </c>
      <c r="D141" s="16" t="s">
        <v>66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397</v>
      </c>
      <c r="C142" s="16" t="s">
        <v>267</v>
      </c>
      <c r="D142" s="16" t="s">
        <v>410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397</v>
      </c>
      <c r="C143" s="16" t="s">
        <v>57</v>
      </c>
      <c r="D143" s="16" t="s">
        <v>58</v>
      </c>
      <c r="E143" s="6" t="n">
        <v>1000</v>
      </c>
      <c r="F143" s="7" t="n">
        <v>1</v>
      </c>
      <c r="G143" s="6" t="n">
        <v>63.08</v>
      </c>
      <c r="H143" s="6" t="n">
        <v>8</v>
      </c>
      <c r="I143" s="6" t="n">
        <v>63.08</v>
      </c>
      <c r="J143" s="6" t="n">
        <v>55.08</v>
      </c>
    </row>
    <row collapsed="false" customFormat="false" customHeight="false" hidden="false" ht="12.1" outlineLevel="0" r="144">
      <c r="A144" s="39" t="n">
        <v>45698</v>
      </c>
      <c r="B144" s="16" t="s">
        <v>397</v>
      </c>
      <c r="C144" s="16" t="s">
        <v>50</v>
      </c>
      <c r="D144" s="16" t="s">
        <v>51</v>
      </c>
      <c r="E144" s="6" t="n">
        <v>1000</v>
      </c>
      <c r="F144" s="7" t="n">
        <v>2</v>
      </c>
      <c r="G144" s="6" t="n">
        <v>63.33</v>
      </c>
      <c r="H144" s="6" t="n">
        <v>16</v>
      </c>
      <c r="I144" s="6" t="n">
        <v>126.66</v>
      </c>
      <c r="J144" s="6" t="n">
        <v>110.66</v>
      </c>
    </row>
    <row collapsed="false" customFormat="false" customHeight="false" hidden="false" ht="12.1" outlineLevel="0" r="145">
      <c r="A145" s="39" t="n">
        <v>45711</v>
      </c>
      <c r="B145" s="16" t="s">
        <v>397</v>
      </c>
      <c r="C145" s="16" t="s">
        <v>61</v>
      </c>
      <c r="D145" s="16" t="s">
        <v>62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397</v>
      </c>
      <c r="C146" s="16" t="s">
        <v>65</v>
      </c>
      <c r="D146" s="16" t="s">
        <v>66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397</v>
      </c>
      <c r="C147" s="16" t="s">
        <v>267</v>
      </c>
      <c r="D147" s="16" t="s">
        <v>410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9" t="n">
        <v>45721</v>
      </c>
      <c r="B148" s="16" t="s">
        <v>397</v>
      </c>
      <c r="C148" s="16" t="s">
        <v>264</v>
      </c>
      <c r="D148" s="16" t="s">
        <v>407</v>
      </c>
      <c r="E148" s="6" t="n">
        <v>1000</v>
      </c>
      <c r="F148" s="7" t="n">
        <v>1</v>
      </c>
      <c r="G148" s="6" t="n">
        <v>34.41</v>
      </c>
      <c r="H148" s="6" t="n">
        <v>4</v>
      </c>
      <c r="I148" s="6" t="n">
        <v>34.41</v>
      </c>
      <c r="J148" s="6" t="n">
        <v>30.41</v>
      </c>
    </row>
    <row collapsed="false" customFormat="false" customHeight="false" hidden="false" ht="12.1" outlineLevel="0" r="149">
      <c r="A149" s="39" t="n">
        <v>45747</v>
      </c>
      <c r="B149" s="16" t="s">
        <v>397</v>
      </c>
      <c r="C149" s="16" t="s">
        <v>65</v>
      </c>
      <c r="D149" s="16" t="s">
        <v>66</v>
      </c>
      <c r="E149" s="6" t="n">
        <v>566.6899999999999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397</v>
      </c>
      <c r="C150" s="16" t="s">
        <v>267</v>
      </c>
      <c r="D150" s="16" t="s">
        <v>410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397</v>
      </c>
      <c r="C151" s="16" t="s">
        <v>69</v>
      </c>
      <c r="D151" s="16" t="s">
        <v>70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397</v>
      </c>
      <c r="C152" s="16" t="s">
        <v>54</v>
      </c>
      <c r="D152" s="16" t="s">
        <v>55</v>
      </c>
      <c r="E152" s="6" t="n">
        <v>1000</v>
      </c>
      <c r="F152" s="7" t="n">
        <v>1</v>
      </c>
      <c r="G152" s="6" t="n">
        <v>57.84</v>
      </c>
      <c r="H152" s="6" t="n">
        <v>8</v>
      </c>
      <c r="I152" s="6" t="n">
        <v>57.84</v>
      </c>
      <c r="J152" s="6" t="n">
        <v>49.84</v>
      </c>
    </row>
    <row collapsed="false" customFormat="false" customHeight="false" hidden="false" ht="12.1" outlineLevel="0" r="153">
      <c r="A153" s="39" t="n">
        <v>45777</v>
      </c>
      <c r="B153" s="16" t="s">
        <v>397</v>
      </c>
      <c r="C153" s="16" t="s">
        <v>65</v>
      </c>
      <c r="D153" s="16" t="s">
        <v>66</v>
      </c>
      <c r="E153" s="6" t="n">
        <v>530.1300000000001</v>
      </c>
      <c r="F153" s="7" t="n">
        <v>2</v>
      </c>
      <c r="G153" s="6" t="n">
        <v>3.49</v>
      </c>
      <c r="H153" s="6" t="n">
        <v>1</v>
      </c>
      <c r="I153" s="6" t="n">
        <v>6.98</v>
      </c>
      <c r="J153" s="6" t="n">
        <v>5.98</v>
      </c>
    </row>
    <row collapsed="false" customFormat="false" customHeight="false" hidden="false" ht="12.1" outlineLevel="0" r="154">
      <c r="A154" s="39" t="n">
        <v>45781</v>
      </c>
      <c r="B154" s="16" t="s">
        <v>397</v>
      </c>
      <c r="C154" s="16" t="s">
        <v>267</v>
      </c>
      <c r="D154" s="16" t="s">
        <v>410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397</v>
      </c>
      <c r="C155" s="16" t="s">
        <v>61</v>
      </c>
      <c r="D155" s="16" t="s">
        <v>62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397</v>
      </c>
      <c r="C156" s="16" t="s">
        <v>65</v>
      </c>
      <c r="D156" s="16" t="s">
        <v>66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397</v>
      </c>
      <c r="C157" s="16" t="s">
        <v>46</v>
      </c>
      <c r="D157" s="16" t="s">
        <v>47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397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397</v>
      </c>
      <c r="C159" s="16" t="s">
        <v>65</v>
      </c>
      <c r="D159" s="16" t="s">
        <v>66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397</v>
      </c>
      <c r="C160" s="16" t="s">
        <v>69</v>
      </c>
      <c r="D160" s="16" t="s">
        <v>70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397</v>
      </c>
      <c r="C161" s="16" t="s">
        <v>54</v>
      </c>
      <c r="D161" s="16" t="s">
        <v>55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397</v>
      </c>
      <c r="C162" s="16" t="s">
        <v>65</v>
      </c>
      <c r="D162" s="16" t="s">
        <v>66</v>
      </c>
      <c r="E162" s="6" t="n">
        <v>426.46000000000004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397</v>
      </c>
      <c r="C163" s="16" t="s">
        <v>57</v>
      </c>
      <c r="D163" s="16" t="s">
        <v>58</v>
      </c>
      <c r="E163" s="6" t="n">
        <v>1000</v>
      </c>
      <c r="F163" s="7" t="n">
        <v>1</v>
      </c>
      <c r="G163" s="6" t="n">
        <v>63.08</v>
      </c>
      <c r="H163" s="6" t="n">
        <v>8</v>
      </c>
      <c r="I163" s="6" t="n">
        <v>63.08</v>
      </c>
      <c r="J163" s="6" t="n">
        <v>55.08</v>
      </c>
    </row>
    <row collapsed="false" customFormat="false" customHeight="false" hidden="false" ht="12.1" outlineLevel="0" r="164">
      <c r="A164" s="39" t="n">
        <v>45880</v>
      </c>
      <c r="B164" s="16" t="s">
        <v>397</v>
      </c>
      <c r="C164" s="16" t="s">
        <v>50</v>
      </c>
      <c r="D164" s="16" t="s">
        <v>51</v>
      </c>
      <c r="E164" s="6" t="n">
        <v>1000</v>
      </c>
      <c r="F164" s="7" t="n">
        <v>2</v>
      </c>
      <c r="G164" s="6" t="n">
        <v>129.64</v>
      </c>
      <c r="H164" s="6" t="n">
        <v>34</v>
      </c>
      <c r="I164" s="6" t="n">
        <v>259.28</v>
      </c>
      <c r="J164" s="6" t="n">
        <v>225.28</v>
      </c>
    </row>
    <row collapsed="false" customFormat="false" customHeight="false" hidden="false" ht="12.1" outlineLevel="0" r="165">
      <c r="A165" s="39" t="n">
        <v>45893</v>
      </c>
      <c r="B165" s="16" t="s">
        <v>397</v>
      </c>
      <c r="C165" s="16" t="s">
        <v>61</v>
      </c>
      <c r="D165" s="16" t="s">
        <v>62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397</v>
      </c>
      <c r="C166" s="16" t="s">
        <v>65</v>
      </c>
      <c r="D166" s="16" t="s">
        <v>66</v>
      </c>
      <c r="E166" s="6" t="n">
        <v>393.65999999999997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397</v>
      </c>
      <c r="C167" s="16" t="s">
        <v>65</v>
      </c>
      <c r="D167" s="16" t="s">
        <v>66</v>
      </c>
      <c r="E167" s="6" t="n">
        <v>362.02000000000004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397</v>
      </c>
      <c r="C168" s="16" t="s">
        <v>69</v>
      </c>
      <c r="D168" s="16" t="s">
        <v>70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397</v>
      </c>
      <c r="C169" s="16" t="s">
        <v>54</v>
      </c>
      <c r="D169" s="16" t="s">
        <v>55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397</v>
      </c>
      <c r="C170" s="16" t="s">
        <v>65</v>
      </c>
      <c r="D170" s="16" t="s">
        <v>66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397</v>
      </c>
      <c r="C171" s="16" t="s">
        <v>61</v>
      </c>
      <c r="D171" s="16" t="s">
        <v>62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397</v>
      </c>
      <c r="C172" s="16" t="s">
        <v>65</v>
      </c>
      <c r="D172" s="16" t="s">
        <v>66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397</v>
      </c>
      <c r="C173" s="16" t="s">
        <v>46</v>
      </c>
      <c r="D173" s="16" t="s">
        <v>47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 t="n">
        <v>46007</v>
      </c>
      <c r="B174" s="16" t="s">
        <v>397</v>
      </c>
      <c r="C174" s="16" t="s">
        <v>41</v>
      </c>
      <c r="D174" s="16" t="s">
        <v>43</v>
      </c>
      <c r="E174" s="6" t="n">
        <v>1000</v>
      </c>
      <c r="F174" s="7" t="n">
        <v>2</v>
      </c>
      <c r="G174" s="6" t="n">
        <v>112.24</v>
      </c>
      <c r="H174" s="6" t="n">
        <v>29</v>
      </c>
      <c r="I174" s="6" t="n">
        <v>224.48</v>
      </c>
      <c r="J174" s="6" t="n">
        <v>195.48</v>
      </c>
    </row>
    <row collapsed="false" customFormat="false" customHeight="false" hidden="false" ht="12.1" outlineLevel="0" r="175">
      <c r="A175" s="39" t="n">
        <v>46022</v>
      </c>
      <c r="B175" s="16" t="s">
        <v>397</v>
      </c>
      <c r="C175" s="16" t="s">
        <v>65</v>
      </c>
      <c r="D175" s="16" t="s">
        <v>66</v>
      </c>
      <c r="E175" s="6" t="n">
        <v>271.85999999999996</v>
      </c>
      <c r="F175" s="7" t="n">
        <v>2</v>
      </c>
      <c r="G175" s="6" t="n">
        <v>1.85</v>
      </c>
      <c r="H175" s="6" t="n">
        <v>0</v>
      </c>
      <c r="I175" s="6" t="n">
        <v>3.7</v>
      </c>
      <c r="J175" s="6" t="n">
        <v>3.7</v>
      </c>
    </row>
    <row collapsed="false" customFormat="false" customHeight="false" hidden="false" ht="12.1" outlineLevel="0" r="176">
      <c r="A176" s="39" t="n">
        <v>46036</v>
      </c>
      <c r="B176" s="16" t="s">
        <v>397</v>
      </c>
      <c r="C176" s="16" t="s">
        <v>69</v>
      </c>
      <c r="D176" s="16" t="s">
        <v>70</v>
      </c>
      <c r="E176" s="6" t="n">
        <v>250</v>
      </c>
      <c r="F176" s="7" t="n">
        <v>2</v>
      </c>
      <c r="G176" s="6" t="n">
        <v>5.7</v>
      </c>
      <c r="H176" s="6" t="n">
        <v>1</v>
      </c>
      <c r="I176" s="6" t="n">
        <v>11.4</v>
      </c>
      <c r="J176" s="6" t="n">
        <v>10.4</v>
      </c>
    </row>
    <row collapsed="false" customFormat="false" customHeight="false" hidden="false" ht="12.1" outlineLevel="0" r="177">
      <c r="A177" s="39" t="n">
        <v>46050</v>
      </c>
      <c r="B177" s="16" t="s">
        <v>397</v>
      </c>
      <c r="C177" s="16" t="s">
        <v>54</v>
      </c>
      <c r="D177" s="16" t="s">
        <v>55</v>
      </c>
      <c r="E177" s="6" t="n">
        <v>1000</v>
      </c>
      <c r="F177" s="7" t="n">
        <v>1</v>
      </c>
      <c r="G177" s="6" t="n">
        <v>47.87</v>
      </c>
      <c r="H177" s="6" t="n">
        <v>6</v>
      </c>
      <c r="I177" s="6" t="n">
        <v>47.87</v>
      </c>
      <c r="J177" s="6" t="n">
        <v>41.87</v>
      </c>
    </row>
    <row collapsed="false" customFormat="false" customHeight="false" hidden="false" ht="12.1" outlineLevel="0" r="178">
      <c r="A178" s="39" t="n">
        <v>46053</v>
      </c>
      <c r="B178" s="16" t="s">
        <v>397</v>
      </c>
      <c r="C178" s="16" t="s">
        <v>65</v>
      </c>
      <c r="D178" s="16" t="s">
        <v>66</v>
      </c>
      <c r="E178" s="6" t="n">
        <v>243.18</v>
      </c>
      <c r="F178" s="7" t="n">
        <v>2</v>
      </c>
      <c r="G178" s="6" t="n">
        <v>1.65</v>
      </c>
      <c r="H178" s="6" t="n">
        <v>0</v>
      </c>
      <c r="I178" s="6" t="n">
        <v>3.3</v>
      </c>
      <c r="J178" s="6" t="n">
        <v>3.3</v>
      </c>
    </row>
    <row collapsed="false" customFormat="false" customHeight="false" hidden="false" ht="12.1" outlineLevel="0" r="179">
      <c r="A179" s="39" t="n">
        <v>46062</v>
      </c>
      <c r="B179" s="16" t="s">
        <v>397</v>
      </c>
      <c r="C179" s="16" t="s">
        <v>57</v>
      </c>
      <c r="D179" s="16" t="s">
        <v>58</v>
      </c>
      <c r="E179" s="6" t="n">
        <v>1000</v>
      </c>
      <c r="F179" s="7" t="n">
        <v>1</v>
      </c>
      <c r="G179" s="6" t="n">
        <v>63.08</v>
      </c>
      <c r="H179" s="6" t="n">
        <v>8</v>
      </c>
      <c r="I179" s="6" t="n">
        <v>63.08</v>
      </c>
      <c r="J179" s="6" t="n">
        <v>55.08</v>
      </c>
    </row>
    <row collapsed="false" customFormat="false" customHeight="false" hidden="false" ht="12.1" outlineLevel="0" r="180">
      <c r="A180" s="39" t="n">
        <v>46062</v>
      </c>
      <c r="B180" s="16" t="s">
        <v>397</v>
      </c>
      <c r="C180" s="16" t="s">
        <v>50</v>
      </c>
      <c r="D180" s="16" t="s">
        <v>51</v>
      </c>
      <c r="E180" s="6" t="n">
        <v>1000</v>
      </c>
      <c r="F180" s="7" t="n">
        <v>2</v>
      </c>
      <c r="G180" s="6" t="n">
        <v>129.64</v>
      </c>
      <c r="H180" s="6" t="n">
        <v>34</v>
      </c>
      <c r="I180" s="6" t="n">
        <v>259.28</v>
      </c>
      <c r="J180" s="6" t="n">
        <v>225.28</v>
      </c>
    </row>
    <row collapsed="false" customFormat="false" customHeight="false" hidden="false" ht="12.1" outlineLevel="0" r="181">
      <c r="A181" s="39" t="n">
        <v>46075</v>
      </c>
      <c r="B181" s="16" t="s">
        <v>397</v>
      </c>
      <c r="C181" s="16" t="s">
        <v>61</v>
      </c>
      <c r="D181" s="16" t="s">
        <v>62</v>
      </c>
      <c r="E181" s="6" t="n">
        <v>1000</v>
      </c>
      <c r="F181" s="7" t="n">
        <v>1</v>
      </c>
      <c r="G181" s="6" t="n">
        <v>29.29</v>
      </c>
      <c r="H181" s="6" t="n">
        <v>4</v>
      </c>
      <c r="I181" s="6" t="n">
        <v>29.29</v>
      </c>
      <c r="J181" s="6" t="n">
        <v>25.29</v>
      </c>
    </row>
    <row collapsed="false" customFormat="false" customHeight="false" hidden="false" ht="12.1" outlineLevel="0" r="182">
      <c r="A182" s="39"/>
      <c r="B182" s="16"/>
      <c r="C182" s="16"/>
      <c r="D182" s="16"/>
      <c r="E182" s="6"/>
      <c r="F182" s="7"/>
      <c r="G182" s="6"/>
      <c r="H182" s="6"/>
      <c r="I182" s="6"/>
      <c r="J182" s="6"/>
    </row>
    <row collapsed="false" customFormat="false" customHeight="false" hidden="false" ht="12.1" outlineLevel="0" r="183">
      <c r="A183" s="39" t="n">
        <v>46081</v>
      </c>
      <c r="B183" s="16" t="s">
        <v>397</v>
      </c>
      <c r="C183" s="16" t="s">
        <v>65</v>
      </c>
      <c r="D183" s="16" t="s">
        <v>66</v>
      </c>
      <c r="E183" s="6" t="n">
        <v>211.35000000000002</v>
      </c>
      <c r="F183" s="7" t="n">
        <v>2</v>
      </c>
      <c r="G183" s="6" t="n">
        <v>1.3</v>
      </c>
      <c r="H183" s="6" t="n">
        <v>0</v>
      </c>
      <c r="I183" s="6" t="n">
        <v>2.6</v>
      </c>
      <c r="J183" s="6" t="n">
        <v>2.6</v>
      </c>
    </row>
    <row collapsed="false" customFormat="false" customHeight="false" hidden="false" ht="12.1" outlineLevel="0" r="184">
      <c r="A184" s="39" t="n">
        <v>46112</v>
      </c>
      <c r="B184" s="16" t="s">
        <v>397</v>
      </c>
      <c r="C184" s="16" t="s">
        <v>65</v>
      </c>
      <c r="D184" s="16" t="s">
        <v>66</v>
      </c>
      <c r="E184" s="6" t="n">
        <v>211.35000000000002</v>
      </c>
      <c r="F184" s="7" t="n">
        <v>2</v>
      </c>
      <c r="G184" s="6" t="n">
        <v>1.27</v>
      </c>
      <c r="H184" s="6" t="n">
        <v>0</v>
      </c>
      <c r="I184" s="6" t="n">
        <v>2.54</v>
      </c>
      <c r="J184" s="6" t="n">
        <v>2.54</v>
      </c>
    </row>
    <row collapsed="false" customFormat="false" customHeight="false" hidden="false" ht="12.1" outlineLevel="0" r="185">
      <c r="A185" s="39" t="n">
        <v>46127</v>
      </c>
      <c r="B185" s="16" t="s">
        <v>397</v>
      </c>
      <c r="C185" s="16" t="s">
        <v>69</v>
      </c>
      <c r="D185" s="16" t="s">
        <v>70</v>
      </c>
      <c r="E185" s="6" t="n">
        <v>125</v>
      </c>
      <c r="F185" s="7" t="n">
        <v>2</v>
      </c>
      <c r="G185" s="6" t="n">
        <v>2.85</v>
      </c>
      <c r="H185" s="6" t="n">
        <v>1</v>
      </c>
      <c r="I185" s="6" t="n">
        <v>5.7</v>
      </c>
      <c r="J185" s="6" t="n">
        <v>4.7</v>
      </c>
    </row>
    <row collapsed="false" customFormat="false" customHeight="false" hidden="false" ht="12.1" outlineLevel="0" r="186">
      <c r="A186" s="39" t="n">
        <v>46141</v>
      </c>
      <c r="B186" s="16" t="s">
        <v>397</v>
      </c>
      <c r="C186" s="16" t="s">
        <v>54</v>
      </c>
      <c r="D186" s="16" t="s">
        <v>55</v>
      </c>
      <c r="E186" s="6" t="n">
        <v>1000</v>
      </c>
      <c r="F186" s="7" t="n">
        <v>1</v>
      </c>
      <c r="G186" s="6" t="n">
        <v>45.38</v>
      </c>
      <c r="H186" s="6" t="n">
        <v>6</v>
      </c>
      <c r="I186" s="6" t="n">
        <v>45.38</v>
      </c>
      <c r="J186" s="6" t="n">
        <v>39.38</v>
      </c>
    </row>
    <row collapsed="false" customFormat="false" customHeight="false" hidden="false" ht="12.1" outlineLevel="0" r="187">
      <c r="A187" s="39" t="n">
        <v>46142</v>
      </c>
      <c r="B187" s="16" t="s">
        <v>397</v>
      </c>
      <c r="C187" s="16" t="s">
        <v>65</v>
      </c>
      <c r="D187" s="16" t="s">
        <v>66</v>
      </c>
      <c r="E187" s="6" t="n">
        <v>211.35000000000002</v>
      </c>
      <c r="F187" s="7" t="n">
        <v>2</v>
      </c>
      <c r="G187" s="6" t="n">
        <v>1.07</v>
      </c>
      <c r="H187" s="6" t="n">
        <v>0</v>
      </c>
      <c r="I187" s="6" t="n">
        <v>2.14</v>
      </c>
      <c r="J187" s="6" t="n">
        <v>2.14</v>
      </c>
    </row>
    <row collapsed="false" customFormat="false" customHeight="false" hidden="false" ht="12.1" outlineLevel="0" r="188">
      <c r="A188" s="39" t="n">
        <v>46166</v>
      </c>
      <c r="B188" s="16" t="s">
        <v>397</v>
      </c>
      <c r="C188" s="16" t="s">
        <v>61</v>
      </c>
      <c r="D188" s="16" t="s">
        <v>62</v>
      </c>
      <c r="E188" s="6" t="n">
        <v>1000</v>
      </c>
      <c r="F188" s="7" t="n">
        <v>1</v>
      </c>
      <c r="G188" s="6" t="n">
        <v>29.29</v>
      </c>
      <c r="H188" s="6" t="n">
        <v>4</v>
      </c>
      <c r="I188" s="6" t="n">
        <v>29.29</v>
      </c>
      <c r="J188" s="6" t="n">
        <v>25.29</v>
      </c>
    </row>
    <row collapsed="false" customFormat="false" customHeight="false" hidden="false" ht="12.1" outlineLevel="0" r="189">
      <c r="A189" s="39" t="n">
        <v>46173</v>
      </c>
      <c r="B189" s="16" t="s">
        <v>397</v>
      </c>
      <c r="C189" s="16" t="s">
        <v>65</v>
      </c>
      <c r="D189" s="16" t="s">
        <v>66</v>
      </c>
      <c r="E189" s="6" t="n">
        <v>211.35000000000002</v>
      </c>
      <c r="F189" s="7" t="n">
        <v>2</v>
      </c>
      <c r="G189" s="6" t="n">
        <v>0.95</v>
      </c>
      <c r="H189" s="6" t="n">
        <v>0</v>
      </c>
      <c r="I189" s="6" t="n">
        <v>1.9</v>
      </c>
      <c r="J189" s="6" t="n">
        <v>1.9</v>
      </c>
    </row>
    <row collapsed="false" customFormat="false" customHeight="false" hidden="false" ht="12.1" outlineLevel="0" r="190">
      <c r="A190" s="39" t="n">
        <v>46180</v>
      </c>
      <c r="B190" s="16" t="s">
        <v>397</v>
      </c>
      <c r="C190" s="16" t="s">
        <v>46</v>
      </c>
      <c r="D190" s="16" t="s">
        <v>47</v>
      </c>
      <c r="E190" s="6" t="n">
        <v>1000</v>
      </c>
      <c r="F190" s="7" t="n">
        <v>2</v>
      </c>
      <c r="G190" s="6" t="n">
        <v>81.78</v>
      </c>
      <c r="H190" s="6" t="n">
        <v>21</v>
      </c>
      <c r="I190" s="6" t="n">
        <v>163.56</v>
      </c>
      <c r="J190" s="6" t="n">
        <v>142.56</v>
      </c>
    </row>
    <row collapsed="false" customFormat="false" customHeight="false" hidden="false" ht="12.1" outlineLevel="0" r="191">
      <c r="A191" s="39" t="n">
        <v>46189</v>
      </c>
      <c r="B191" s="16" t="s">
        <v>397</v>
      </c>
      <c r="C191" s="16" t="s">
        <v>41</v>
      </c>
      <c r="D191" s="16" t="s">
        <v>43</v>
      </c>
      <c r="E191" s="6" t="n">
        <v>1000</v>
      </c>
      <c r="F191" s="7" t="n">
        <v>2</v>
      </c>
      <c r="G191" s="6" t="n">
        <v>95.44</v>
      </c>
      <c r="H191" s="6" t="n">
        <v>25</v>
      </c>
      <c r="I191" s="6" t="n">
        <v>190.88</v>
      </c>
      <c r="J191" s="6" t="n">
        <v>165.88</v>
      </c>
    </row>
    <row collapsed="false" customFormat="false" customHeight="false" hidden="false" ht="12.1" outlineLevel="0" r="192">
      <c r="A192" s="39" t="n">
        <v>46203</v>
      </c>
      <c r="B192" s="16" t="s">
        <v>397</v>
      </c>
      <c r="C192" s="16" t="s">
        <v>65</v>
      </c>
      <c r="D192" s="16" t="s">
        <v>66</v>
      </c>
      <c r="E192" s="6" t="n">
        <v>211.35000000000002</v>
      </c>
      <c r="F192" s="7" t="n">
        <v>2</v>
      </c>
      <c r="G192" s="6" t="n">
        <v>0.77</v>
      </c>
      <c r="H192" s="6" t="n">
        <v>0</v>
      </c>
      <c r="I192" s="6" t="n">
        <v>1.54</v>
      </c>
      <c r="J192" s="6" t="n">
        <v>1.54</v>
      </c>
    </row>
    <row collapsed="false" customFormat="false" customHeight="false" hidden="false" ht="12.1" outlineLevel="0" r="193">
      <c r="A193" s="39" t="n">
        <v>46232</v>
      </c>
      <c r="B193" s="16" t="s">
        <v>397</v>
      </c>
      <c r="C193" s="16" t="s">
        <v>54</v>
      </c>
      <c r="D193" s="16" t="s">
        <v>55</v>
      </c>
      <c r="E193" s="6" t="n">
        <v>1000</v>
      </c>
      <c r="F193" s="7" t="n">
        <v>1</v>
      </c>
      <c r="G193" s="6" t="n">
        <v>45.38</v>
      </c>
      <c r="H193" s="6" t="n">
        <v>6</v>
      </c>
      <c r="I193" s="6" t="n">
        <v>45.38</v>
      </c>
      <c r="J193" s="6" t="n">
        <v>39.38</v>
      </c>
    </row>
    <row collapsed="false" customFormat="false" customHeight="false" hidden="false" ht="12.1" outlineLevel="0" r="194">
      <c r="A194" s="39" t="n">
        <v>46234</v>
      </c>
      <c r="B194" s="16" t="s">
        <v>397</v>
      </c>
      <c r="C194" s="16" t="s">
        <v>65</v>
      </c>
      <c r="D194" s="16" t="s">
        <v>66</v>
      </c>
      <c r="E194" s="6" t="n">
        <v>211.35000000000002</v>
      </c>
      <c r="F194" s="7" t="n">
        <v>2</v>
      </c>
      <c r="G194" s="6" t="n">
        <v>0.65</v>
      </c>
      <c r="H194" s="6" t="n">
        <v>0</v>
      </c>
      <c r="I194" s="6" t="n">
        <v>1.3</v>
      </c>
      <c r="J194" s="6" t="n">
        <v>1.3</v>
      </c>
    </row>
    <row collapsed="false" customFormat="false" customHeight="false" hidden="false" ht="12.1" outlineLevel="0" r="195">
      <c r="A195" s="39" t="n">
        <v>46244</v>
      </c>
      <c r="B195" s="16" t="s">
        <v>397</v>
      </c>
      <c r="C195" s="16" t="s">
        <v>50</v>
      </c>
      <c r="D195" s="16" t="s">
        <v>51</v>
      </c>
      <c r="E195" s="6" t="n">
        <v>1000</v>
      </c>
      <c r="F195" s="7" t="n">
        <v>2</v>
      </c>
      <c r="G195" s="6" t="n">
        <v>129.64</v>
      </c>
      <c r="H195" s="6" t="n">
        <v>34</v>
      </c>
      <c r="I195" s="6" t="n">
        <v>259.28</v>
      </c>
      <c r="J195" s="6" t="n">
        <v>225.28</v>
      </c>
    </row>
    <row collapsed="false" customFormat="false" customHeight="false" hidden="false" ht="12.1" outlineLevel="0" r="196">
      <c r="A196" s="39" t="n">
        <v>46244</v>
      </c>
      <c r="B196" s="16" t="s">
        <v>397</v>
      </c>
      <c r="C196" s="16" t="s">
        <v>57</v>
      </c>
      <c r="D196" s="16" t="s">
        <v>58</v>
      </c>
      <c r="E196" s="6" t="n">
        <v>1000</v>
      </c>
      <c r="F196" s="7" t="n">
        <v>1</v>
      </c>
      <c r="G196" s="6" t="n">
        <v>63.08</v>
      </c>
      <c r="H196" s="6" t="n">
        <v>8</v>
      </c>
      <c r="I196" s="6" t="n">
        <v>63.08</v>
      </c>
      <c r="J196" s="6" t="n">
        <v>55.08</v>
      </c>
    </row>
    <row collapsed="false" customFormat="false" customHeight="false" hidden="false" ht="12.1" outlineLevel="0" r="197">
      <c r="A197" s="39" t="n">
        <v>46265</v>
      </c>
      <c r="B197" s="16" t="s">
        <v>397</v>
      </c>
      <c r="C197" s="16" t="s">
        <v>65</v>
      </c>
      <c r="D197" s="16" t="s">
        <v>66</v>
      </c>
      <c r="E197" s="6" t="n">
        <v>211.35000000000002</v>
      </c>
      <c r="F197" s="7" t="n">
        <v>2</v>
      </c>
      <c r="G197" s="6" t="n">
        <v>0.52</v>
      </c>
      <c r="H197" s="6" t="n">
        <v>0</v>
      </c>
      <c r="I197" s="6" t="n">
        <v>1.04</v>
      </c>
      <c r="J197" s="6" t="n">
        <v>1.04</v>
      </c>
    </row>
    <row collapsed="false" customFormat="false" customHeight="false" hidden="false" ht="12.1" outlineLevel="0" r="198">
      <c r="A198" s="39" t="n">
        <v>46295</v>
      </c>
      <c r="B198" s="16" t="s">
        <v>397</v>
      </c>
      <c r="C198" s="16" t="s">
        <v>65</v>
      </c>
      <c r="D198" s="16" t="s">
        <v>66</v>
      </c>
      <c r="E198" s="6" t="n">
        <v>211.35000000000002</v>
      </c>
      <c r="F198" s="7" t="n">
        <v>2</v>
      </c>
      <c r="G198" s="6" t="n">
        <v>0.37</v>
      </c>
      <c r="H198" s="6" t="n">
        <v>0</v>
      </c>
      <c r="I198" s="6" t="n">
        <v>0.74</v>
      </c>
      <c r="J198" s="6" t="n">
        <v>0.74</v>
      </c>
    </row>
    <row collapsed="false" customFormat="false" customHeight="false" hidden="false" ht="12.1" outlineLevel="0" r="199">
      <c r="A199" s="39" t="n">
        <v>46323</v>
      </c>
      <c r="B199" s="16" t="s">
        <v>397</v>
      </c>
      <c r="C199" s="16" t="s">
        <v>54</v>
      </c>
      <c r="D199" s="16" t="s">
        <v>55</v>
      </c>
      <c r="E199" s="6" t="n">
        <v>1000</v>
      </c>
      <c r="F199" s="7" t="n">
        <v>1</v>
      </c>
      <c r="G199" s="6" t="n">
        <v>45.38</v>
      </c>
      <c r="H199" s="6" t="n">
        <v>6</v>
      </c>
      <c r="I199" s="6" t="n">
        <v>45.38</v>
      </c>
      <c r="J199" s="6" t="n">
        <v>39.38</v>
      </c>
    </row>
    <row collapsed="false" customFormat="false" customHeight="false" hidden="false" ht="12.1" outlineLevel="0" r="200">
      <c r="A200" s="39" t="n">
        <v>46326</v>
      </c>
      <c r="B200" s="16" t="s">
        <v>397</v>
      </c>
      <c r="C200" s="16" t="s">
        <v>65</v>
      </c>
      <c r="D200" s="16" t="s">
        <v>66</v>
      </c>
      <c r="E200" s="6" t="n">
        <v>211.35000000000002</v>
      </c>
      <c r="F200" s="7" t="n">
        <v>2</v>
      </c>
      <c r="G200" s="6" t="n">
        <v>0.26</v>
      </c>
      <c r="H200" s="6" t="n">
        <v>0</v>
      </c>
      <c r="I200" s="6" t="n">
        <v>0.52</v>
      </c>
      <c r="J200" s="6" t="n">
        <v>0.52</v>
      </c>
    </row>
    <row collapsed="false" customFormat="false" customHeight="false" hidden="false" ht="12.1" outlineLevel="0" r="201">
      <c r="A201" s="39" t="n">
        <v>46356</v>
      </c>
      <c r="B201" s="16" t="s">
        <v>397</v>
      </c>
      <c r="C201" s="16" t="s">
        <v>65</v>
      </c>
      <c r="D201" s="16" t="s">
        <v>66</v>
      </c>
      <c r="E201" s="6" t="n">
        <v>211.35000000000002</v>
      </c>
      <c r="F201" s="7" t="n">
        <v>2</v>
      </c>
      <c r="G201" s="6" t="n">
        <v>0.14</v>
      </c>
      <c r="H201" s="6" t="n">
        <v>0</v>
      </c>
      <c r="I201" s="6" t="n">
        <v>0.28</v>
      </c>
      <c r="J201" s="6" t="n">
        <v>0.28</v>
      </c>
    </row>
    <row collapsed="false" customFormat="false" customHeight="false" hidden="false" ht="12.1" outlineLevel="0" r="202">
      <c r="A202" s="39" t="n">
        <v>46362</v>
      </c>
      <c r="B202" s="16" t="s">
        <v>397</v>
      </c>
      <c r="C202" s="16" t="s">
        <v>46</v>
      </c>
      <c r="D202" s="16" t="s">
        <v>47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397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95.44</v>
      </c>
      <c r="H203" s="6" t="n">
        <v>25</v>
      </c>
      <c r="I203" s="6" t="n">
        <v>190.88</v>
      </c>
      <c r="J203" s="6" t="n">
        <v>165.88</v>
      </c>
    </row>
    <row collapsed="false" customFormat="false" customHeight="false" hidden="false" ht="12.1" outlineLevel="0" r="204">
      <c r="A204" s="39" t="n">
        <v>46387</v>
      </c>
      <c r="B204" s="16" t="s">
        <v>397</v>
      </c>
      <c r="C204" s="16" t="s">
        <v>65</v>
      </c>
      <c r="D204" s="16" t="s">
        <v>66</v>
      </c>
      <c r="E204" s="6" t="n">
        <v>211.35000000000002</v>
      </c>
      <c r="F204" s="7" t="n">
        <v>2</v>
      </c>
      <c r="G204" s="6" t="n">
        <v>0.03</v>
      </c>
      <c r="H204" s="6" t="n">
        <v>0</v>
      </c>
      <c r="I204" s="6" t="n">
        <v>0.06</v>
      </c>
      <c r="J204" s="6" t="n">
        <v>0.06</v>
      </c>
    </row>
    <row collapsed="false" customFormat="false" customHeight="false" hidden="false" ht="12.1" outlineLevel="0" r="205">
      <c r="A205" s="39" t="n">
        <v>46414</v>
      </c>
      <c r="B205" s="16" t="s">
        <v>397</v>
      </c>
      <c r="C205" s="16" t="s">
        <v>54</v>
      </c>
      <c r="D205" s="16" t="s">
        <v>55</v>
      </c>
      <c r="E205" s="6" t="n">
        <v>1000</v>
      </c>
      <c r="F205" s="7" t="n">
        <v>1</v>
      </c>
      <c r="G205" s="6" t="n">
        <v>45.38</v>
      </c>
      <c r="H205" s="6" t="n">
        <v>6</v>
      </c>
      <c r="I205" s="6" t="n">
        <v>45.38</v>
      </c>
      <c r="J205" s="6" t="n">
        <v>39.38</v>
      </c>
    </row>
    <row collapsed="false" customFormat="false" customHeight="false" hidden="false" ht="12.1" outlineLevel="0" r="206">
      <c r="A206" s="39" t="n">
        <v>46418</v>
      </c>
      <c r="B206" s="16" t="s">
        <v>397</v>
      </c>
      <c r="C206" s="16" t="s">
        <v>65</v>
      </c>
      <c r="D206" s="16" t="s">
        <v>66</v>
      </c>
      <c r="E206" s="6" t="n">
        <v>211.35000000000002</v>
      </c>
      <c r="F206" s="7" t="n">
        <v>2</v>
      </c>
      <c r="G206" s="6" t="n">
        <v>0.03</v>
      </c>
      <c r="H206" s="6" t="n">
        <v>0</v>
      </c>
      <c r="I206" s="6" t="n">
        <v>0.06</v>
      </c>
      <c r="J206" s="6" t="n">
        <v>0.06</v>
      </c>
    </row>
    <row collapsed="false" customFormat="false" customHeight="false" hidden="false" ht="12.1" outlineLevel="0" r="207">
      <c r="A207" s="39" t="n">
        <v>46426</v>
      </c>
      <c r="B207" s="16" t="s">
        <v>397</v>
      </c>
      <c r="C207" s="16" t="s">
        <v>50</v>
      </c>
      <c r="D207" s="16" t="s">
        <v>51</v>
      </c>
      <c r="E207" s="6" t="n">
        <v>1000</v>
      </c>
      <c r="F207" s="7" t="n">
        <v>2</v>
      </c>
      <c r="G207" s="6" t="n">
        <v>129.64</v>
      </c>
      <c r="H207" s="6" t="n">
        <v>34</v>
      </c>
      <c r="I207" s="6" t="n">
        <v>259.28</v>
      </c>
      <c r="J207" s="6" t="n">
        <v>225.28</v>
      </c>
    </row>
    <row collapsed="false" customFormat="false" customHeight="false" hidden="false" ht="12.1" outlineLevel="0" r="208">
      <c r="A208" s="39" t="n">
        <v>46446</v>
      </c>
      <c r="B208" s="16" t="s">
        <v>397</v>
      </c>
      <c r="C208" s="16" t="s">
        <v>65</v>
      </c>
      <c r="D208" s="16" t="s">
        <v>66</v>
      </c>
      <c r="E208" s="6" t="n">
        <v>211.35000000000002</v>
      </c>
      <c r="F208" s="7" t="n">
        <v>2</v>
      </c>
      <c r="G208" s="6" t="n">
        <v>0.05</v>
      </c>
      <c r="H208" s="6" t="n">
        <v>0</v>
      </c>
      <c r="I208" s="6" t="n">
        <v>0.1</v>
      </c>
      <c r="J208" s="6" t="n">
        <v>0.1</v>
      </c>
    </row>
    <row collapsed="false" customFormat="false" customHeight="false" hidden="false" ht="12.1" outlineLevel="0" r="209">
      <c r="A209" s="39" t="n">
        <v>46544</v>
      </c>
      <c r="B209" s="16" t="s">
        <v>397</v>
      </c>
      <c r="C209" s="16" t="s">
        <v>46</v>
      </c>
      <c r="D209" s="16" t="s">
        <v>47</v>
      </c>
      <c r="E209" s="6" t="n">
        <v>1000</v>
      </c>
      <c r="F209" s="7" t="n">
        <v>2</v>
      </c>
      <c r="G209" s="6" t="n">
        <v>81.78</v>
      </c>
      <c r="H209" s="6" t="n">
        <v>21</v>
      </c>
      <c r="I209" s="6" t="n">
        <v>163.56</v>
      </c>
      <c r="J209" s="6" t="n">
        <v>142.56</v>
      </c>
    </row>
    <row collapsed="false" customFormat="false" customHeight="false" hidden="false" ht="12.1" outlineLevel="0" r="210">
      <c r="A210" s="39" t="n">
        <v>46553</v>
      </c>
      <c r="B210" s="16" t="s">
        <v>397</v>
      </c>
      <c r="C210" s="16" t="s">
        <v>41</v>
      </c>
      <c r="D210" s="16" t="s">
        <v>43</v>
      </c>
      <c r="E210" s="6" t="n">
        <v>1000</v>
      </c>
      <c r="F210" s="7" t="n">
        <v>2</v>
      </c>
      <c r="G210" s="6" t="n">
        <v>95.44</v>
      </c>
      <c r="H210" s="6" t="n">
        <v>25</v>
      </c>
      <c r="I210" s="6" t="n">
        <v>190.88</v>
      </c>
      <c r="J210" s="6" t="n">
        <v>165.88</v>
      </c>
    </row>
    <row collapsed="false" customFormat="false" customHeight="false" hidden="false" ht="12.1" outlineLevel="0" r="211">
      <c r="A211" s="39" t="n">
        <v>46726</v>
      </c>
      <c r="B211" s="16" t="s">
        <v>397</v>
      </c>
      <c r="C211" s="16" t="s">
        <v>46</v>
      </c>
      <c r="D211" s="16" t="s">
        <v>47</v>
      </c>
      <c r="E211" s="6" t="n">
        <v>1000</v>
      </c>
      <c r="F211" s="7" t="n">
        <v>2</v>
      </c>
      <c r="G211" s="6" t="n">
        <v>81.78</v>
      </c>
      <c r="H211" s="6" t="n">
        <v>21</v>
      </c>
      <c r="I211" s="6" t="n">
        <v>163.56</v>
      </c>
      <c r="J211" s="6" t="n">
        <v>142.56</v>
      </c>
    </row>
    <row collapsed="false" customFormat="false" customHeight="false" hidden="false" ht="12.1" outlineLevel="0" r="212">
      <c r="A212" s="39" t="n">
        <v>46735</v>
      </c>
      <c r="B212" s="16" t="s">
        <v>397</v>
      </c>
      <c r="C212" s="16" t="s">
        <v>41</v>
      </c>
      <c r="D212" s="16" t="s">
        <v>43</v>
      </c>
      <c r="E212" s="6" t="n">
        <v>1000</v>
      </c>
      <c r="F212" s="7" t="n">
        <v>2</v>
      </c>
      <c r="G212" s="6" t="n">
        <v>95.44</v>
      </c>
      <c r="H212" s="6" t="n">
        <v>25</v>
      </c>
      <c r="I212" s="6" t="n">
        <v>190.88</v>
      </c>
      <c r="J212" s="6" t="n">
        <v>165.88</v>
      </c>
    </row>
    <row collapsed="false" customFormat="false" customHeight="false" hidden="false" ht="12.1" outlineLevel="0" r="213">
      <c r="A213" s="39" t="n">
        <v>46917</v>
      </c>
      <c r="B213" s="16" t="s">
        <v>397</v>
      </c>
      <c r="C213" s="16" t="s">
        <v>41</v>
      </c>
      <c r="D213" s="16" t="s">
        <v>43</v>
      </c>
      <c r="E213" s="6" t="n">
        <v>1000</v>
      </c>
      <c r="F213" s="7" t="n">
        <v>2</v>
      </c>
      <c r="G213" s="6" t="n">
        <v>95.44</v>
      </c>
      <c r="H213" s="6" t="n">
        <v>25</v>
      </c>
      <c r="I213" s="6" t="n">
        <v>190.88</v>
      </c>
      <c r="J213" s="6" t="n">
        <v>165.88</v>
      </c>
    </row>
    <row collapsed="false" customFormat="false" customHeight="false" hidden="false" ht="12.1" outlineLevel="0" r="214">
      <c r="A214" s="39" t="n">
        <v>47099</v>
      </c>
      <c r="B214" s="16" t="s">
        <v>397</v>
      </c>
      <c r="C214" s="16" t="s">
        <v>41</v>
      </c>
      <c r="D214" s="16" t="s">
        <v>43</v>
      </c>
      <c r="E214" s="6" t="n">
        <v>1000</v>
      </c>
      <c r="F214" s="7" t="n">
        <v>2</v>
      </c>
      <c r="G214" s="6" t="n">
        <v>95.44</v>
      </c>
      <c r="H214" s="6" t="n">
        <v>25</v>
      </c>
      <c r="I214" s="6" t="n">
        <v>190.88</v>
      </c>
      <c r="J214" s="6" t="n">
        <v>165.88</v>
      </c>
    </row>
    <row collapsed="false" customFormat="false" customHeight="false" hidden="false" ht="12.1" outlineLevel="0" r="215">
      <c r="A215" s="39" t="n">
        <v>47281</v>
      </c>
      <c r="B215" s="16" t="s">
        <v>397</v>
      </c>
      <c r="C215" s="16" t="s">
        <v>41</v>
      </c>
      <c r="D215" s="16" t="s">
        <v>43</v>
      </c>
      <c r="E215" s="6" t="n">
        <v>1000</v>
      </c>
      <c r="F215" s="7" t="n">
        <v>2</v>
      </c>
      <c r="G215" s="6" t="n">
        <v>95.44</v>
      </c>
      <c r="H215" s="6" t="n">
        <v>25</v>
      </c>
      <c r="I215" s="6" t="n">
        <v>190.88</v>
      </c>
      <c r="J215" s="6" t="n">
        <v>165.88</v>
      </c>
    </row>
    <row collapsed="false" customFormat="false" customHeight="false" hidden="false" ht="12.1" outlineLevel="0" r="216">
      <c r="A216" s="39" t="n">
        <v>47463</v>
      </c>
      <c r="B216" s="16" t="s">
        <v>397</v>
      </c>
      <c r="C216" s="16" t="s">
        <v>41</v>
      </c>
      <c r="D216" s="16" t="s">
        <v>43</v>
      </c>
      <c r="E216" s="6" t="n">
        <v>1000</v>
      </c>
      <c r="F216" s="7" t="n">
        <v>2</v>
      </c>
      <c r="G216" s="6" t="n">
        <v>95.44</v>
      </c>
      <c r="H216" s="6" t="n">
        <v>25</v>
      </c>
      <c r="I216" s="6" t="n">
        <v>190.88</v>
      </c>
      <c r="J216" s="6" t="n">
        <v>165.88</v>
      </c>
    </row>
    <row collapsed="false" customFormat="false" customHeight="false" hidden="false" ht="12.1" outlineLevel="0" r="217">
      <c r="A217" s="39" t="n">
        <v>47645</v>
      </c>
      <c r="B217" s="16" t="s">
        <v>397</v>
      </c>
      <c r="C217" s="16" t="s">
        <v>41</v>
      </c>
      <c r="D217" s="16" t="s">
        <v>43</v>
      </c>
      <c r="E217" s="6" t="n">
        <v>1000</v>
      </c>
      <c r="F217" s="7" t="n">
        <v>2</v>
      </c>
      <c r="G217" s="6" t="n">
        <v>95.44</v>
      </c>
      <c r="H217" s="6" t="n">
        <v>25</v>
      </c>
      <c r="I217" s="6" t="n">
        <v>190.88</v>
      </c>
      <c r="J217" s="6" t="n">
        <v>165.88</v>
      </c>
    </row>
    <row collapsed="false" customFormat="false" customHeight="false" hidden="false" ht="12.1" outlineLevel="0" r="218">
      <c r="A218" s="39" t="n">
        <v>47817</v>
      </c>
      <c r="B218" s="16" t="s">
        <v>397</v>
      </c>
      <c r="C218" s="16" t="s">
        <v>65</v>
      </c>
      <c r="D218" s="16" t="s">
        <v>66</v>
      </c>
      <c r="E218" s="6" t="n">
        <v>211.35000000000002</v>
      </c>
      <c r="F218" s="7" t="n">
        <v>2</v>
      </c>
      <c r="G218" s="6" t="n">
        <v>0.05</v>
      </c>
      <c r="H218" s="6" t="n">
        <v>0</v>
      </c>
      <c r="I218" s="6" t="n">
        <v>0.1</v>
      </c>
      <c r="J218" s="6" t="n">
        <v>0.1</v>
      </c>
    </row>
    <row collapsed="false" customFormat="false" customHeight="false" hidden="false" ht="12.1" outlineLevel="0" r="219">
      <c r="A219" s="39" t="n">
        <v>47827</v>
      </c>
      <c r="B219" s="16" t="s">
        <v>397</v>
      </c>
      <c r="C219" s="16" t="s">
        <v>41</v>
      </c>
      <c r="D219" s="16" t="s">
        <v>43</v>
      </c>
      <c r="E219" s="6" t="n">
        <v>1000</v>
      </c>
      <c r="F219" s="7" t="n">
        <v>2</v>
      </c>
      <c r="G219" s="6" t="n">
        <v>95.44</v>
      </c>
      <c r="H219" s="6" t="n">
        <v>25</v>
      </c>
      <c r="I219" s="6" t="n">
        <v>190.88</v>
      </c>
      <c r="J219" s="6" t="n">
        <v>165.88</v>
      </c>
    </row>
    <row collapsed="false" customFormat="false" customHeight="false" hidden="false" ht="12.1" outlineLevel="0" r="220">
      <c r="A220" s="39" t="n">
        <v>48009</v>
      </c>
      <c r="B220" s="16" t="s">
        <v>397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95.44</v>
      </c>
      <c r="H220" s="6" t="n">
        <v>25</v>
      </c>
      <c r="I220" s="6" t="n">
        <v>190.88</v>
      </c>
      <c r="J220" s="6" t="n">
        <v>165.88</v>
      </c>
    </row>
    <row collapsed="false" customFormat="false" customHeight="false" hidden="false" ht="12.1" outlineLevel="0" r="221">
      <c r="A221" s="39" t="n">
        <v>48191</v>
      </c>
      <c r="B221" s="16" t="s">
        <v>397</v>
      </c>
      <c r="C221" s="16" t="s">
        <v>41</v>
      </c>
      <c r="D221" s="16" t="s">
        <v>43</v>
      </c>
      <c r="E221" s="6" t="n">
        <v>1000</v>
      </c>
      <c r="F221" s="7" t="n">
        <v>2</v>
      </c>
      <c r="G221" s="6" t="n">
        <v>95.44</v>
      </c>
      <c r="H221" s="6" t="n">
        <v>25</v>
      </c>
      <c r="I221" s="6" t="n">
        <v>190.88</v>
      </c>
      <c r="J221" s="6" t="n">
        <v>165.88</v>
      </c>
    </row>
    <row collapsed="false" customFormat="false" customHeight="false" hidden="false" ht="12.1" outlineLevel="0" r="222">
      <c r="A222" s="39" t="n">
        <v>48373</v>
      </c>
      <c r="B222" s="16" t="s">
        <v>397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95.44</v>
      </c>
      <c r="H222" s="6" t="n">
        <v>25</v>
      </c>
      <c r="I222" s="6" t="n">
        <v>190.88</v>
      </c>
      <c r="J222" s="6" t="n">
        <v>165.88</v>
      </c>
    </row>
    <row collapsed="false" customFormat="false" customHeight="false" hidden="false" ht="12.1" outlineLevel="0" r="223">
      <c r="A223" s="39" t="n">
        <v>48555</v>
      </c>
      <c r="B223" s="16" t="s">
        <v>397</v>
      </c>
      <c r="C223" s="16" t="s">
        <v>41</v>
      </c>
      <c r="D223" s="16" t="s">
        <v>43</v>
      </c>
      <c r="E223" s="6" t="n">
        <v>1000</v>
      </c>
      <c r="F223" s="7" t="n">
        <v>2</v>
      </c>
      <c r="G223" s="6" t="n">
        <v>95.44</v>
      </c>
      <c r="H223" s="6" t="n">
        <v>25</v>
      </c>
      <c r="I223" s="6" t="n">
        <v>190.88</v>
      </c>
      <c r="J223" s="6" t="n">
        <v>165.88</v>
      </c>
    </row>
    <row collapsed="false" customFormat="false" customHeight="false" hidden="false" ht="12.1" outlineLevel="0" r="224">
      <c r="A224" s="39" t="n">
        <v>48737</v>
      </c>
      <c r="B224" s="16" t="s">
        <v>397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95.44</v>
      </c>
      <c r="H224" s="6" t="n">
        <v>25</v>
      </c>
      <c r="I224" s="6" t="n">
        <v>190.88</v>
      </c>
      <c r="J224" s="6" t="n">
        <v>165.88</v>
      </c>
    </row>
    <row collapsed="false" customFormat="false" customHeight="false" hidden="false" ht="12.1" outlineLevel="0" r="225">
      <c r="A225" s="39" t="n">
        <v>48919</v>
      </c>
      <c r="B225" s="16" t="s">
        <v>397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95.44</v>
      </c>
      <c r="H225" s="6" t="n">
        <v>25</v>
      </c>
      <c r="I225" s="6" t="n">
        <v>190.88</v>
      </c>
      <c r="J225" s="6" t="n">
        <v>165.88</v>
      </c>
    </row>
    <row collapsed="false" customFormat="false" customHeight="false" hidden="false" ht="12.1" outlineLevel="0" r="226">
      <c r="A226" s="39" t="n">
        <v>49101</v>
      </c>
      <c r="B226" s="16" t="s">
        <v>397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95.44</v>
      </c>
      <c r="H226" s="6" t="n">
        <v>25</v>
      </c>
      <c r="I226" s="6" t="n">
        <v>190.88</v>
      </c>
      <c r="J226" s="6" t="n">
        <v>165.88</v>
      </c>
    </row>
    <row collapsed="false" customFormat="false" customHeight="false" hidden="false" ht="12.1" outlineLevel="0" r="227">
      <c r="A227" s="39" t="n">
        <v>49283</v>
      </c>
      <c r="B227" s="16" t="s">
        <v>397</v>
      </c>
      <c r="C227" s="16" t="s">
        <v>41</v>
      </c>
      <c r="D227" s="16" t="s">
        <v>43</v>
      </c>
      <c r="E227" s="6" t="n">
        <v>1000</v>
      </c>
      <c r="F227" s="7" t="n">
        <v>2</v>
      </c>
      <c r="G227" s="6" t="n">
        <v>95.44</v>
      </c>
      <c r="H227" s="6" t="n">
        <v>25</v>
      </c>
      <c r="I227" s="6" t="n">
        <v>190.88</v>
      </c>
      <c r="J227" s="6" t="n">
        <v>165.88</v>
      </c>
    </row>
  </sheetData>
  <autoFilter ref="A1:J2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77</v>
      </c>
      <c r="B1" s="38" t="s">
        <v>387</v>
      </c>
      <c r="C1" s="38" t="s">
        <v>0</v>
      </c>
      <c r="D1" s="38" t="s">
        <v>2</v>
      </c>
      <c r="E1" s="38" t="s">
        <v>388</v>
      </c>
      <c r="F1" s="38" t="s">
        <v>411</v>
      </c>
      <c r="G1" s="38" t="s">
        <v>412</v>
      </c>
      <c r="H1" s="38" t="s">
        <v>81</v>
      </c>
      <c r="I1" s="38" t="s">
        <v>413</v>
      </c>
      <c r="J1" s="38" t="s">
        <v>414</v>
      </c>
      <c r="K1" s="38" t="s">
        <v>415</v>
      </c>
      <c r="L1" s="38" t="s">
        <v>416</v>
      </c>
      <c r="M1" s="38" t="s">
        <v>417</v>
      </c>
      <c r="N1" s="38" t="s">
        <v>418</v>
      </c>
      <c r="O1" s="38" t="s">
        <v>419</v>
      </c>
    </row>
    <row collapsed="false" customFormat="false" customHeight="false" hidden="false" ht="12.1" outlineLevel="0" r="2">
      <c r="A2" s="40" t="n">
        <v>45841</v>
      </c>
      <c r="B2" s="16" t="s">
        <v>397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237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397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776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397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727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397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637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397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622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397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621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397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621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397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610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397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602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397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559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397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546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397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545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397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539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397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534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397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527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397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509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397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442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397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413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397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411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397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407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397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329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397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309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397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295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397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261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397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247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397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222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397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205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397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190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397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170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397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155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397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126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397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111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397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79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397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75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46035</v>
      </c>
      <c r="B36" s="16" t="s">
        <v>397</v>
      </c>
      <c r="C36" s="16" t="s">
        <v>23</v>
      </c>
      <c r="D36" s="16" t="s">
        <v>25</v>
      </c>
      <c r="E36" s="17" t="n">
        <v>507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43</v>
      </c>
      <c r="J36" s="17" t="n">
        <v>10.2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397</v>
      </c>
      <c r="C37" s="16" t="s">
        <v>23</v>
      </c>
      <c r="D37" s="16" t="s">
        <v>25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37</v>
      </c>
      <c r="J37" s="17" t="n">
        <v>10.08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46069</v>
      </c>
      <c r="B38" s="16" t="s">
        <v>397</v>
      </c>
      <c r="C38" s="16" t="s">
        <v>23</v>
      </c>
      <c r="D38" s="16" t="s">
        <v>25</v>
      </c>
      <c r="E38" s="17" t="n">
        <v>40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9</v>
      </c>
      <c r="J38" s="17" t="n">
        <v>9.9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45999</v>
      </c>
      <c r="B39" s="16" t="s">
        <v>397</v>
      </c>
      <c r="C39" s="16" t="s">
        <v>27</v>
      </c>
      <c r="D39" s="16" t="s">
        <v>28</v>
      </c>
      <c r="E39" s="17" t="n">
        <v>328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79</v>
      </c>
      <c r="J39" s="17" t="n">
        <v>148.07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45302</v>
      </c>
      <c r="B40" s="16" t="s">
        <v>397</v>
      </c>
      <c r="C40" s="16" t="s">
        <v>30</v>
      </c>
      <c r="D40" s="16" t="s">
        <v>31</v>
      </c>
      <c r="E40" s="17" t="n">
        <v>207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776</v>
      </c>
      <c r="J40" s="17" t="n">
        <v>5.72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45371</v>
      </c>
      <c r="B41" s="16" t="s">
        <v>397</v>
      </c>
      <c r="C41" s="16" t="s">
        <v>30</v>
      </c>
      <c r="D41" s="16" t="s">
        <v>31</v>
      </c>
      <c r="E41" s="17" t="n">
        <v>25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707</v>
      </c>
      <c r="J41" s="17" t="n">
        <v>5.82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45385</v>
      </c>
      <c r="B42" s="16" t="s">
        <v>397</v>
      </c>
      <c r="C42" s="16" t="s">
        <v>30</v>
      </c>
      <c r="D42" s="16" t="s">
        <v>31</v>
      </c>
      <c r="E42" s="17" t="n">
        <v>7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693</v>
      </c>
      <c r="J42" s="17" t="n">
        <v>5.81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45393</v>
      </c>
      <c r="B43" s="16" t="s">
        <v>397</v>
      </c>
      <c r="C43" s="16" t="s">
        <v>30</v>
      </c>
      <c r="D43" s="16" t="s">
        <v>31</v>
      </c>
      <c r="E43" s="17" t="n">
        <v>16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685</v>
      </c>
      <c r="J43" s="17" t="n">
        <v>5.8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45401</v>
      </c>
      <c r="B44" s="16" t="s">
        <v>397</v>
      </c>
      <c r="C44" s="16" t="s">
        <v>30</v>
      </c>
      <c r="D44" s="16" t="s">
        <v>31</v>
      </c>
      <c r="E44" s="17" t="n">
        <v>11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677</v>
      </c>
      <c r="J44" s="17" t="n">
        <v>5.83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45428</v>
      </c>
      <c r="B45" s="16" t="s">
        <v>397</v>
      </c>
      <c r="C45" s="16" t="s">
        <v>30</v>
      </c>
      <c r="D45" s="16" t="s">
        <v>31</v>
      </c>
      <c r="E45" s="17" t="n">
        <v>14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650</v>
      </c>
      <c r="J45" s="17" t="n">
        <v>5.85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45443</v>
      </c>
      <c r="B46" s="16" t="s">
        <v>397</v>
      </c>
      <c r="C46" s="16" t="s">
        <v>30</v>
      </c>
      <c r="D46" s="16" t="s">
        <v>31</v>
      </c>
      <c r="E46" s="17" t="n">
        <v>91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635</v>
      </c>
      <c r="J46" s="17" t="n">
        <v>5.77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45448</v>
      </c>
      <c r="B47" s="16" t="s">
        <v>397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630</v>
      </c>
      <c r="J47" s="17" t="n">
        <v>5.79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45476</v>
      </c>
      <c r="B48" s="16" t="s">
        <v>397</v>
      </c>
      <c r="C48" s="16" t="s">
        <v>30</v>
      </c>
      <c r="D48" s="16" t="s">
        <v>31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602</v>
      </c>
      <c r="J48" s="17" t="n">
        <v>5.82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45488</v>
      </c>
      <c r="B49" s="16" t="s">
        <v>397</v>
      </c>
      <c r="C49" s="16" t="s">
        <v>30</v>
      </c>
      <c r="D49" s="16" t="s">
        <v>31</v>
      </c>
      <c r="E49" s="17" t="n">
        <v>190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590</v>
      </c>
      <c r="J49" s="17" t="n">
        <v>5.79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45488</v>
      </c>
      <c r="B50" s="16" t="s">
        <v>397</v>
      </c>
      <c r="C50" s="16" t="s">
        <v>30</v>
      </c>
      <c r="D50" s="16" t="s">
        <v>31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590</v>
      </c>
      <c r="J50" s="17" t="n">
        <v>5.79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45492</v>
      </c>
      <c r="B51" s="16" t="s">
        <v>397</v>
      </c>
      <c r="C51" s="16" t="s">
        <v>30</v>
      </c>
      <c r="D51" s="16" t="s">
        <v>31</v>
      </c>
      <c r="E51" s="17" t="n">
        <v>51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586</v>
      </c>
      <c r="J51" s="17" t="n">
        <v>5.81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45506</v>
      </c>
      <c r="B52" s="16" t="s">
        <v>397</v>
      </c>
      <c r="C52" s="16" t="s">
        <v>30</v>
      </c>
      <c r="D52" s="16" t="s">
        <v>31</v>
      </c>
      <c r="E52" s="17" t="n">
        <v>27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572</v>
      </c>
      <c r="J52" s="17" t="n">
        <v>5.86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45516</v>
      </c>
      <c r="B53" s="16" t="s">
        <v>397</v>
      </c>
      <c r="C53" s="16" t="s">
        <v>30</v>
      </c>
      <c r="D53" s="16" t="s">
        <v>31</v>
      </c>
      <c r="E53" s="17" t="n">
        <v>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562</v>
      </c>
      <c r="J53" s="17" t="n">
        <v>5.91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45517</v>
      </c>
      <c r="B54" s="16" t="s">
        <v>397</v>
      </c>
      <c r="C54" s="16" t="s">
        <v>30</v>
      </c>
      <c r="D54" s="16" t="s">
        <v>31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561</v>
      </c>
      <c r="J54" s="17" t="n">
        <v>5.92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45519</v>
      </c>
      <c r="B55" s="16" t="s">
        <v>397</v>
      </c>
      <c r="C55" s="16" t="s">
        <v>30</v>
      </c>
      <c r="D55" s="16" t="s">
        <v>31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559</v>
      </c>
      <c r="J55" s="17" t="n">
        <v>5.92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45566</v>
      </c>
      <c r="B56" s="16" t="s">
        <v>397</v>
      </c>
      <c r="C56" s="16" t="s">
        <v>30</v>
      </c>
      <c r="D56" s="16" t="s">
        <v>31</v>
      </c>
      <c r="E56" s="17" t="n">
        <v>136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512</v>
      </c>
      <c r="J56" s="17" t="n">
        <v>5.86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45566</v>
      </c>
      <c r="B57" s="16" t="s">
        <v>397</v>
      </c>
      <c r="C57" s="16" t="s">
        <v>30</v>
      </c>
      <c r="D57" s="16" t="s">
        <v>31</v>
      </c>
      <c r="E57" s="17" t="n">
        <v>4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512</v>
      </c>
      <c r="J57" s="17" t="n">
        <v>5.86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45569</v>
      </c>
      <c r="B58" s="16" t="s">
        <v>397</v>
      </c>
      <c r="C58" s="16" t="s">
        <v>30</v>
      </c>
      <c r="D58" s="16" t="s">
        <v>31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509</v>
      </c>
      <c r="J58" s="17" t="n">
        <v>5.87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45575</v>
      </c>
      <c r="B59" s="16" t="s">
        <v>397</v>
      </c>
      <c r="C59" s="16" t="s">
        <v>30</v>
      </c>
      <c r="D59" s="16" t="s">
        <v>31</v>
      </c>
      <c r="E59" s="17" t="n">
        <v>18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503</v>
      </c>
      <c r="J59" s="17" t="n">
        <v>0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45691</v>
      </c>
      <c r="B60" s="16" t="s">
        <v>397</v>
      </c>
      <c r="C60" s="16" t="s">
        <v>33</v>
      </c>
      <c r="D60" s="16" t="s">
        <v>34</v>
      </c>
      <c r="E60" s="17" t="n">
        <v>5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387</v>
      </c>
      <c r="J60" s="17" t="n">
        <v>11.23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45693</v>
      </c>
      <c r="B61" s="16" t="s">
        <v>397</v>
      </c>
      <c r="C61" s="16" t="s">
        <v>33</v>
      </c>
      <c r="D61" s="16" t="s">
        <v>34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385</v>
      </c>
      <c r="J61" s="17" t="n">
        <v>11.19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45693</v>
      </c>
      <c r="B62" s="16" t="s">
        <v>397</v>
      </c>
      <c r="C62" s="16" t="s">
        <v>33</v>
      </c>
      <c r="D62" s="16" t="s">
        <v>34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385</v>
      </c>
      <c r="J62" s="17" t="n">
        <v>11.19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45700</v>
      </c>
      <c r="B63" s="16" t="s">
        <v>397</v>
      </c>
      <c r="C63" s="16" t="s">
        <v>33</v>
      </c>
      <c r="D63" s="16" t="s">
        <v>34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378</v>
      </c>
      <c r="J63" s="17" t="n">
        <v>11.08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45720</v>
      </c>
      <c r="B64" s="16" t="s">
        <v>397</v>
      </c>
      <c r="C64" s="16" t="s">
        <v>33</v>
      </c>
      <c r="D64" s="16" t="s">
        <v>34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358</v>
      </c>
      <c r="J64" s="17" t="n">
        <v>10.58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45728</v>
      </c>
      <c r="B65" s="16" t="s">
        <v>397</v>
      </c>
      <c r="C65" s="16" t="s">
        <v>33</v>
      </c>
      <c r="D65" s="16" t="s">
        <v>34</v>
      </c>
      <c r="E65" s="17" t="n">
        <v>101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350</v>
      </c>
      <c r="J65" s="17" t="n">
        <v>10.39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45645</v>
      </c>
      <c r="B66" s="16" t="s">
        <v>397</v>
      </c>
      <c r="C66" s="16" t="s">
        <v>36</v>
      </c>
      <c r="D66" s="16" t="s">
        <v>37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433</v>
      </c>
      <c r="J66" s="17" t="n">
        <v>10.16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45673</v>
      </c>
      <c r="B67" s="16" t="s">
        <v>397</v>
      </c>
      <c r="C67" s="16" t="s">
        <v>36</v>
      </c>
      <c r="D67" s="16" t="s">
        <v>37</v>
      </c>
      <c r="E67" s="17" t="n">
        <v>26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405</v>
      </c>
      <c r="J67" s="17" t="n">
        <v>10.82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44743</v>
      </c>
      <c r="B68" s="16" t="s">
        <v>397</v>
      </c>
      <c r="C68" s="16" t="s">
        <v>41</v>
      </c>
      <c r="D68" s="16" t="s">
        <v>43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1335</v>
      </c>
      <c r="J68" s="17" t="n">
        <v>1109.615</v>
      </c>
      <c r="K68" s="6" t="s">
        <f>=Портфель!F10*Портфель!G10/100*Портфель!$Q$13+Портфель!H10*Портфель!$Q$13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44931</v>
      </c>
      <c r="B69" s="16" t="s">
        <v>397</v>
      </c>
      <c r="C69" s="16" t="s">
        <v>46</v>
      </c>
      <c r="D69" s="16" t="s">
        <v>47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1147</v>
      </c>
      <c r="J69" s="17" t="n">
        <v>937.04</v>
      </c>
      <c r="K69" s="6" t="s">
        <f>=Портфель!F11*Портфель!G11/100*Портфель!$Q$13+Портфель!H11*Портфель!$Q$13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44931</v>
      </c>
      <c r="B70" s="16" t="s">
        <v>397</v>
      </c>
      <c r="C70" s="16" t="s">
        <v>46</v>
      </c>
      <c r="D70" s="16" t="s">
        <v>47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1147</v>
      </c>
      <c r="J70" s="17" t="n">
        <v>937.04</v>
      </c>
      <c r="K70" s="6" t="s">
        <f>=Портфель!F11*Портфель!G11/100*Портфель!$Q$13+Портфель!H11*Портфель!$Q$13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44743</v>
      </c>
      <c r="B71" s="16" t="s">
        <v>397</v>
      </c>
      <c r="C71" s="16" t="s">
        <v>50</v>
      </c>
      <c r="D71" s="16" t="s">
        <v>51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1335</v>
      </c>
      <c r="J71" s="17" t="n">
        <v>1041.83</v>
      </c>
      <c r="K71" s="6" t="s">
        <f>=Портфель!F12*Портфель!G12/100*Портфель!$Q$13+Портфель!H12*Портфель!$Q$13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44931</v>
      </c>
      <c r="B72" s="16" t="s">
        <v>397</v>
      </c>
      <c r="C72" s="16" t="s">
        <v>54</v>
      </c>
      <c r="D72" s="16" t="s">
        <v>55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1147</v>
      </c>
      <c r="J72" s="17" t="n">
        <v>1030.61</v>
      </c>
      <c r="K72" s="6" t="s">
        <f>=Портфель!F13*Портфель!G13/100*Портфель!$Q$13+Портфель!H13*Портфель!$Q$13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45342</v>
      </c>
      <c r="B73" s="16" t="s">
        <v>397</v>
      </c>
      <c r="C73" s="16" t="s">
        <v>57</v>
      </c>
      <c r="D73" s="16" t="s">
        <v>58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736</v>
      </c>
      <c r="J73" s="17" t="n">
        <v>933.96</v>
      </c>
      <c r="K73" s="6" t="s">
        <f>=Портфель!F14*Портфель!G14/100*Портфель!$Q$13+Портфель!H14*Портфель!$Q$13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45342</v>
      </c>
      <c r="B74" s="16" t="s">
        <v>397</v>
      </c>
      <c r="C74" s="16" t="s">
        <v>61</v>
      </c>
      <c r="D74" s="16" t="s">
        <v>62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736</v>
      </c>
      <c r="J74" s="17" t="n">
        <v>959.37</v>
      </c>
      <c r="K74" s="6" t="s">
        <f>=Портфель!F15*Портфель!G15/100*Портфель!$Q$13+Портфель!H15*Портфель!$Q$13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45342</v>
      </c>
      <c r="B75" s="16" t="s">
        <v>397</v>
      </c>
      <c r="C75" s="16" t="s">
        <v>65</v>
      </c>
      <c r="D75" s="16" t="s">
        <v>66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736</v>
      </c>
      <c r="J75" s="17" t="n">
        <v>900.96</v>
      </c>
      <c r="K75" s="6" t="s">
        <f>=Портфель!F16*Портфель!G16/100*Портфель!$Q$13+Портфель!H16*Портфель!$Q$13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44734</v>
      </c>
      <c r="B76" s="16" t="s">
        <v>397</v>
      </c>
      <c r="C76" s="16" t="s">
        <v>69</v>
      </c>
      <c r="D76" s="16" t="s">
        <v>70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1344</v>
      </c>
      <c r="J76" s="17" t="n">
        <v>965.83</v>
      </c>
      <c r="K76" s="6" t="s">
        <f>=Портфель!F17*Портфель!G17/100*Портфель!$Q$13+Портфель!H17*Портфель!$Q$13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/>
      <c r="B77" s="16"/>
      <c r="C77" s="16"/>
      <c r="D77" s="16"/>
      <c r="E77" s="17"/>
      <c r="F77" s="7"/>
      <c r="G77" s="17"/>
      <c r="H77" s="16"/>
      <c r="I77" s="7"/>
      <c r="J77" s="17"/>
      <c r="K77" s="4" t="s">
        <v>76</v>
      </c>
      <c r="L77" s="8" t="s">
        <f>=SUBTOTAL(109,L2:L76)</f>
      </c>
      <c r="M77" s="8" t="s">
        <f>=SUBTOTAL(109,M2:M76)</f>
      </c>
      <c r="N77" s="8" t="s">
        <f>=MAX(0,M77*0.13)</f>
      </c>
    </row>
  </sheetData>
  <autoFilter ref="A1:O7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2026-02-25T06:32:26.00Z</dcterms:created>
  <dc:creator>izi-invest.ru</dc:creator>
  <cp:revision>0</cp:revision>
</cp:coreProperties>
</file>