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windowHeight="8192" windowWidth="16384" xWindow="0" yWindow="0"/>
  </bookViews>
  <sheets>
    <sheet name="Портфель" sheetId="1" state="visible" r:id="rId2"/>
    <sheet name="XIRR" sheetId="2" state="visible" r:id="rId3"/>
    <sheet name="Доходность откр." sheetId="3" state="visible" r:id="rId4"/>
    <sheet name="Доход" sheetId="4" state="visible" r:id="rId5"/>
    <sheet name="Сделки" sheetId="5" state="visible" r:id="rId6"/>
    <sheet name="Купоны" sheetId="6" state="visible" r:id="rId7"/>
    <sheet name="Возраст" sheetId="7" state="visible" r:id="rId8"/>
    <sheet name="FIFO" sheetId="8" state="visible" r:id="rId9"/>
  </sheets>
  <calcPr iterateCount="100" refMode="A1" iterate="false" iterateDelta="0.001"/>
</workbook>
</file>

<file path=xl/sharedStrings.xml><?xml version="1.0" encoding="utf-8"?>
<sst xmlns="http://schemas.openxmlformats.org/spreadsheetml/2006/main" count="446" uniqueCount="116">
  <si>
    <t>Тикер</t>
  </si>
  <si>
    <t>Тип</t>
  </si>
  <si>
    <t>Название</t>
  </si>
  <si>
    <t>Валюта</t>
  </si>
  <si>
    <t>Количество</t>
  </si>
  <si>
    <t>Цена</t>
  </si>
  <si>
    <t>Номинал</t>
  </si>
  <si>
    <t>НКД</t>
  </si>
  <si>
    <t>Погашение</t>
  </si>
  <si>
    <t>Сумма</t>
  </si>
  <si>
    <t>Доходность</t>
  </si>
  <si>
    <t>Средняя цена</t>
  </si>
  <si>
    <t>Доля</t>
  </si>
  <si>
    <t>Имя</t>
  </si>
  <si>
    <t>Курс к рублю</t>
  </si>
  <si>
    <t>Курс к RUR</t>
  </si>
  <si>
    <t>LQDT</t>
  </si>
  <si>
    <t>etf</t>
  </si>
  <si>
    <t>LQDT ETF</t>
  </si>
  <si>
    <t>RUR</t>
  </si>
  <si>
    <t>AMD</t>
  </si>
  <si>
    <t>EQMX</t>
  </si>
  <si>
    <t>EQMX ETF</t>
  </si>
  <si>
    <t>BYN</t>
  </si>
  <si>
    <t>GOOD</t>
  </si>
  <si>
    <t>GOOD ETF</t>
  </si>
  <si>
    <t>CAD</t>
  </si>
  <si>
    <t>SBLB</t>
  </si>
  <si>
    <t>SBLB ETF</t>
  </si>
  <si>
    <t>CHF</t>
  </si>
  <si>
    <t>Сумма по фондам:</t>
  </si>
  <si>
    <t>CNY</t>
  </si>
  <si>
    <t>SU26238RMFS4</t>
  </si>
  <si>
    <t>bond</t>
  </si>
  <si>
    <t>ОФЗ 26238</t>
  </si>
  <si>
    <t>2041-05-15</t>
  </si>
  <si>
    <t>EUR</t>
  </si>
  <si>
    <t>Сумма по облигациям:</t>
  </si>
  <si>
    <t>GBP</t>
  </si>
  <si>
    <t>Рубль</t>
  </si>
  <si>
    <t>GLD</t>
  </si>
  <si>
    <t>Золото</t>
  </si>
  <si>
    <t>HKD</t>
  </si>
  <si>
    <t>Сумма по валютам:</t>
  </si>
  <si>
    <t>JPY</t>
  </si>
  <si>
    <t>Сумма:</t>
  </si>
  <si>
    <t>KZT</t>
  </si>
  <si>
    <t>SLV</t>
  </si>
  <si>
    <t>TRY</t>
  </si>
  <si>
    <t>UAH</t>
  </si>
  <si>
    <t>USD</t>
  </si>
  <si>
    <t>Дата</t>
  </si>
  <si>
    <t>Примечание</t>
  </si>
  <si>
    <t>.</t>
  </si>
  <si>
    <t>..</t>
  </si>
  <si>
    <t>d</t>
  </si>
  <si>
    <t>s</t>
  </si>
  <si>
    <t>ds</t>
  </si>
  <si>
    <t>Ввод ДС</t>
  </si>
  <si>
    <t>Зачисление денежных средств</t>
  </si>
  <si>
    <t>Купон по SU26238RMFS4 - ОФЗ 26238 4шт. по 35.4 RUR - налог 18 RUR (данные из БД)</t>
  </si>
  <si>
    <t>Баланс сейчас</t>
  </si>
  <si>
    <t>XIRR</t>
  </si>
  <si>
    <t>Сред.взвеш.сумм.</t>
  </si>
  <si>
    <t>Полный доход, RUR</t>
  </si>
  <si>
    <t>Сред.год.дох.</t>
  </si>
  <si>
    <t>buy</t>
  </si>
  <si>
    <t>Стоимость сейчас</t>
  </si>
  <si>
    <t>sell</t>
  </si>
  <si>
    <t>Полный доход</t>
  </si>
  <si>
    <t>LQDT
LQDT ETF</t>
  </si>
  <si>
    <t>EQMX
EQMX ETF</t>
  </si>
  <si>
    <t>GOOD
GOOD ETF</t>
  </si>
  <si>
    <t>SBLB
SBLB ETF</t>
  </si>
  <si>
    <t>SU26238RMFS4
ОФЗ 26238</t>
  </si>
  <si>
    <t>Текущая цена</t>
  </si>
  <si>
    <t>Остаток</t>
  </si>
  <si>
    <t>Доход</t>
  </si>
  <si>
    <t>Операция</t>
  </si>
  <si>
    <t>Комиссия банка</t>
  </si>
  <si>
    <t>Комиссия ТС</t>
  </si>
  <si>
    <t>Комментарий</t>
  </si>
  <si>
    <t>input</t>
  </si>
  <si>
    <t>БПИФ Ликвидность УК ВИМ</t>
  </si>
  <si>
    <t>GLDRUB_TOM</t>
  </si>
  <si>
    <t>GLD/RUB_TOM - GLD/РУБ</t>
  </si>
  <si>
    <t>selt</t>
  </si>
  <si>
    <t>ДОХОДЪ Стратегии денеж. рынка</t>
  </si>
  <si>
    <t>БПИФ Индекс МосБиржи УК ВИМ</t>
  </si>
  <si>
    <t>БПИФПервая Долгосроч.гособлиг.</t>
  </si>
  <si>
    <t>ОФЗ-ПД 26238 15/05/2041</t>
  </si>
  <si>
    <t>Остаток:</t>
  </si>
  <si>
    <t>Портфель</t>
  </si>
  <si>
    <t>Кол.</t>
  </si>
  <si>
    <t>Купон</t>
  </si>
  <si>
    <t>Налог</t>
  </si>
  <si>
    <t>Сумма 
до налога</t>
  </si>
  <si>
    <t>Сумма 
после налога</t>
  </si>
  <si>
    <t>Моя редакция вечного портфеля</t>
  </si>
  <si>
    <t>Y</t>
  </si>
  <si>
    <t>m</t>
  </si>
  <si>
    <t>Всего дней</t>
  </si>
  <si>
    <t>Цена покупки с НКД и комиссией</t>
  </si>
  <si>
    <t>Цена сейчас с НКД</t>
  </si>
  <si>
    <t>Сумма при продаже</t>
  </si>
  <si>
    <t>Прибыль</t>
  </si>
  <si>
    <t>Налог при продаже</t>
  </si>
  <si>
    <t>Сегодня</t>
  </si>
  <si>
    <t>Покупка</t>
  </si>
  <si>
    <t>Продажа</t>
  </si>
  <si>
    <t>Цена покупки</t>
  </si>
  <si>
    <t>Цена продажи</t>
  </si>
  <si>
    <t>Результат</t>
  </si>
  <si>
    <t>Доходность сделки</t>
  </si>
  <si>
    <t>Срок</t>
  </si>
  <si>
    <t>Доходность годовых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</si>
</sst>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#,##0.00"/>
    <numFmt numFmtId="166" formatCode="0"/>
    <numFmt numFmtId="167" formatCode="0.00%"/>
    <numFmt numFmtId="168" formatCode="YYYY\-MM\-DD"/>
    <numFmt numFmtId="169" formatCode="YYYY\-MM\-DD"/>
    <numFmt numFmtId="170" formatCode="0.00"/>
    <numFmt numFmtId="171" formatCode="YYYY\-MM\-DD"/>
    <numFmt numFmtId="172" formatCode="YYYY\-MM\-DD"/>
    <numFmt numFmtId="173" formatCode="YYYY\-MM\-DD"/>
    <numFmt numFmtId="174" formatCode="YYYY\-MM\-DD"/>
    <numFmt numFmtId="175" formatCode="YYYY\-MM\-DD"/>
    <numFmt numFmtId="176" formatCode="YYYY\-MM\-DD"/>
  </numFmts>
  <fonts count="3">
    <font>
      <sz val="11"/>
      <name val="Calibri"/>
      <charset val="0"/>
      <scheme val="minor"/>
      <family val="0"/>
    </font>
    <font>
      <b/>
      <sz val="11"/>
      <name val="Calibri"/>
      <charset val="0"/>
      <scheme val="minor"/>
      <family val="0"/>
    </font>
    <font>
      <color rgb="FF2C6DD4"/>
      <sz val="11"/>
      <name val="Calibri"/>
      <charset val="0"/>
      <scheme val="minor"/>
      <family val="0"/>
    </font>
  </fonts>
  <fills count="6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DAE6F5FF"/>
      </patternFill>
    </fill>
    <fill>
      <patternFill patternType="solid">
        <fgColor rgb="FFF2FFF9"/>
      </patternFill>
    </fill>
    <fill>
      <patternFill patternType="solid">
        <fgColor rgb="FFFFF0F8"/>
      </patternFill>
    </fill>
  </fills>
  <borders count="2">
    <border diagonalDown="false" diagonalUp="false"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43"/>
    <xf applyAlignment="false" applyBorder="false" applyFont="true" applyProtection="false" borderId="0" fillId="0" fontId="0" numFmtId="41"/>
    <xf applyAlignment="false" applyBorder="false" applyFont="true" applyProtection="false" borderId="0" fillId="0" fontId="0" numFmtId="44"/>
    <xf applyAlignment="false" applyBorder="false" applyFont="true" applyProtection="false" borderId="0" fillId="0" fontId="0" numFmtId="42"/>
    <xf applyAlignment="false" applyBorder="false" applyFont="true" applyProtection="false" borderId="0" fillId="0" fontId="0" numFmtId="9"/>
  </cellStyleXfs>
  <cellXfs count="34">
    <xf applyAlignment="false" applyBorder="false" applyFont="true" applyProtection="false" borderId="0" fillId="0" fontId="0" numFmtId="164"/>
    <xf applyAlignment="false" applyBorder="false" applyFont="true" applyProtection="false" borderId="0" fillId="1" fontId="0" numFmtId="164"/>
    <xf applyAlignment="true" applyBorder="false" applyFont="true" applyProtection="false" borderId="1" fillId="0" fontId="0" numFmtId="164">
      <alignment wrapText="1"/>
    </xf>
    <xf applyAlignment="true" applyBorder="false" applyFont="true" applyProtection="false" borderId="1" fillId="0" fontId="1" numFmtId="164">
      <alignment wrapText="1"/>
    </xf>
    <xf applyAlignment="false" applyBorder="false" applyFont="true" applyProtection="false" borderId="1" fillId="0" fontId="1" numFmtId="164"/>
    <xf applyAlignment="false" applyBorder="false" applyFont="true" applyProtection="false" borderId="1" fillId="2" fontId="1" numFmtId="165"/>
    <xf applyAlignment="false" applyBorder="false" applyFont="true" applyProtection="false" borderId="1" fillId="0" fontId="0" numFmtId="165"/>
    <xf applyAlignment="false" applyBorder="false" applyFont="true" applyProtection="false" borderId="1" fillId="0" fontId="0" numFmtId="166"/>
    <xf applyAlignment="false" applyBorder="false" applyFont="true" applyProtection="false" borderId="1" fillId="0" fontId="1" numFmtId="165"/>
    <xf applyAlignment="false" applyBorder="false" applyFont="true" applyProtection="false" borderId="1" fillId="0" fontId="1" numFmtId="167"/>
    <xf applyAlignment="false" applyBorder="false" applyFont="true" applyProtection="false" borderId="1" fillId="2" fontId="1" numFmtId="167"/>
    <xf applyAlignment="false" applyBorder="false" applyFont="true" applyProtection="false" borderId="1" fillId="0" fontId="1" numFmtId="168"/>
    <xf applyAlignment="false" applyBorder="false" applyFont="true" applyProtection="false" borderId="1" fillId="2" fontId="1" numFmtId="169"/>
    <xf applyAlignment="false" applyBorder="false" applyFont="true" applyProtection="false" borderId="1" fillId="0" fontId="0" numFmtId="169"/>
    <xf applyAlignment="false" applyBorder="false" applyFont="true" applyProtection="false" borderId="1" fillId="2" fontId="1" numFmtId="164"/>
    <xf applyAlignment="false" applyBorder="false" applyFont="true" applyProtection="false" borderId="1" fillId="0" fontId="2" numFmtId="164"/>
    <xf applyAlignment="false" applyBorder="false" applyFont="true" applyProtection="false" borderId="1" fillId="0" fontId="0" numFmtId="164"/>
    <xf applyAlignment="false" applyBorder="false" applyFont="true" applyProtection="false" borderId="1" fillId="0" fontId="0" numFmtId="170"/>
    <xf applyAlignment="false" applyBorder="false" applyFont="true" applyProtection="false" borderId="1" fillId="3" fontId="1" numFmtId="164"/>
    <xf applyAlignment="false" applyBorder="false" applyFont="true" applyProtection="false" borderId="1" fillId="0" fontId="0" numFmtId="171"/>
    <xf applyAlignment="false" applyBorder="false" applyFont="true" applyProtection="false" borderId="1" fillId="0" fontId="0" numFmtId="172"/>
    <xf applyAlignment="false" applyBorder="false" applyFont="true" applyProtection="false" borderId="1" fillId="4" fontId="0" numFmtId="172"/>
    <xf applyAlignment="false" applyBorder="false" applyFont="true" applyProtection="false" borderId="1" fillId="4" fontId="0" numFmtId="164"/>
    <xf applyAlignment="false" applyBorder="false" applyFont="true" applyProtection="false" borderId="1" fillId="4" fontId="0" numFmtId="166"/>
    <xf applyAlignment="false" applyBorder="false" applyFont="true" applyProtection="false" borderId="1" fillId="4" fontId="0" numFmtId="165"/>
    <xf applyAlignment="false" applyBorder="false" applyFont="true" applyProtection="false" borderId="1" fillId="5" fontId="0" numFmtId="172"/>
    <xf applyAlignment="false" applyBorder="false" applyFont="true" applyProtection="false" borderId="1" fillId="5" fontId="0" numFmtId="164"/>
    <xf applyAlignment="false" applyBorder="false" applyFont="true" applyProtection="false" borderId="1" fillId="5" fontId="0" numFmtId="166"/>
    <xf applyAlignment="false" applyBorder="false" applyFont="true" applyProtection="false" borderId="1" fillId="5" fontId="0" numFmtId="165"/>
    <xf applyAlignment="false" applyBorder="false" applyFont="true" applyProtection="false" borderId="1" fillId="0" fontId="0" numFmtId="173"/>
    <xf applyAlignment="true" applyBorder="false" applyFont="true" applyProtection="false" borderId="1" fillId="3" fontId="1" numFmtId="164">
      <alignment wrapText="1"/>
    </xf>
    <xf applyAlignment="false" applyBorder="false" applyFont="true" applyProtection="false" borderId="1" fillId="0" fontId="0" numFmtId="174"/>
    <xf applyAlignment="false" applyBorder="false" applyFont="true" applyProtection="false" borderId="1" fillId="0" fontId="0" numFmtId="175"/>
    <xf applyAlignment="false" applyBorder="false" applyFont="true" applyProtection="false" borderId="1" fillId="0" fontId="0" numFmtId="176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
            Type="http://schemas.openxmlformats.org/officeDocument/2006/relationships/worksheet" Target="worksheets/sheet1.xml"/><Relationship Id="rId3" 
            Type="http://schemas.openxmlformats.org/officeDocument/2006/relationships/worksheet" Target="worksheets/sheet2.xml"/><Relationship Id="rId4" 
            Type="http://schemas.openxmlformats.org/officeDocument/2006/relationships/worksheet" Target="worksheets/sheet3.xml"/><Relationship Id="rId5" 
            Type="http://schemas.openxmlformats.org/officeDocument/2006/relationships/worksheet" Target="worksheets/sheet4.xml"/><Relationship Id="rId6" 
            Type="http://schemas.openxmlformats.org/officeDocument/2006/relationships/worksheet" Target="worksheets/sheet5.xml"/><Relationship Id="rId7" 
            Type="http://schemas.openxmlformats.org/officeDocument/2006/relationships/worksheet" Target="worksheets/sheet6.xml"/><Relationship Id="rId8" 
            Type="http://schemas.openxmlformats.org/officeDocument/2006/relationships/worksheet" Target="worksheets/sheet7.xml"/><Relationship Id="rId9" 
            Type="http://schemas.openxmlformats.org/officeDocument/2006/relationships/worksheet" Target="worksheets/sheet8.xml"/><Relationship Id="rId10" 
           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20" customWidth="1"/>
    <col min="2" max="2" width="10" customWidth="1"/>
    <col min="3" max="3" width="20" customWidth="1"/>
    <col min="4" max="4" width="10" customWidth="1"/>
    <col min="5" max="5" width="10" customWidth="1"/>
    <col min="6" max="6" width="10" customWidth="1"/>
    <col min="7" max="7" width="10" customWidth="1"/>
    <col min="8" max="8" width="10" customWidth="1"/>
    <col min="9" max="9" width="15" customWidth="1"/>
    <col min="10" max="10" width="15" customWidth="1"/>
    <col min="11" max="11" width="10" customWidth="1"/>
    <col min="12" max="12" width="15" customWidth="1"/>
    <col min="13" max="13" width="10" customWidth="1"/>
    <col min="14" max="14" width="10" customWidth="1"/>
    <col min="15" max="15" width="10" customWidth="1"/>
    <col min="16" max="16" width="10" customWidth="1"/>
    <col min="17" max="17" width="10" customWidth="1"/>
  </cols>
  <sheetData>
    <row collapsed="false" customFormat="false" customHeight="false" hidden="false" ht="12.1" outlineLevel="0" r="1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/>
      <c r="O1" s="18" t="s">
        <v>13</v>
      </c>
      <c r="P1" s="18" t="s">
        <v>14</v>
      </c>
      <c r="Q1" s="18" t="s">
        <v>15</v>
      </c>
    </row>
    <row collapsed="false" customFormat="false" customHeight="false" hidden="false" ht="12.1" outlineLevel="0" r="2">
      <c r="A2" s="16" t="s">
        <v>16</v>
      </c>
      <c r="B2" s="16" t="s">
        <v>17</v>
      </c>
      <c r="C2" s="16" t="s">
        <v>18</v>
      </c>
      <c r="D2" s="16" t="s">
        <v>19</v>
      </c>
      <c r="E2" s="7" t="n">
        <v>1140</v>
      </c>
      <c r="F2" s="6" t="n">
        <v>2.0355</v>
      </c>
      <c r="G2" s="17" t="n">
        <v>0</v>
      </c>
      <c r="H2" s="6" t="n">
        <v>0</v>
      </c>
      <c r="I2" s="16"/>
      <c r="J2" s="6" t="s">
        <f>=E2*F2*Портфель!$Q$13</f>
      </c>
      <c r="K2" s="9" t="n">
        <v>0.1894</v>
      </c>
      <c r="L2" s="6" t="n">
        <v>1.56</v>
      </c>
      <c r="M2" s="17" t="n">
        <v>12.66</v>
      </c>
      <c r="N2" s="16"/>
      <c r="O2" s="16" t="s">
        <v>20</v>
      </c>
      <c r="P2" s="17" t="n">
        <v>0.214475</v>
      </c>
      <c r="Q2" s="6" t="s">
        <f>=P2/$P$13</f>
      </c>
    </row>
    <row collapsed="false" customFormat="false" customHeight="false" hidden="false" ht="12.1" outlineLevel="0" r="3">
      <c r="A3" s="16" t="s">
        <v>21</v>
      </c>
      <c r="B3" s="16" t="s">
        <v>17</v>
      </c>
      <c r="C3" s="16" t="s">
        <v>22</v>
      </c>
      <c r="D3" s="16" t="s">
        <v>19</v>
      </c>
      <c r="E3" s="7" t="n">
        <v>20</v>
      </c>
      <c r="F3" s="6" t="n">
        <v>114.4</v>
      </c>
      <c r="G3" s="17" t="n">
        <v>0</v>
      </c>
      <c r="H3" s="6" t="n">
        <v>0</v>
      </c>
      <c r="I3" s="16"/>
      <c r="J3" s="6" t="s">
        <f>=E3*F3*Портфель!$Q$13</f>
      </c>
      <c r="K3" s="9" t="n">
        <v>-0.1401</v>
      </c>
      <c r="L3" s="6" t="n">
        <v>142.83</v>
      </c>
      <c r="M3" s="17" t="n">
        <v>12.49</v>
      </c>
      <c r="N3" s="16"/>
      <c r="O3" s="16" t="s">
        <v>23</v>
      </c>
      <c r="P3" s="17" t="n">
        <v>26.8175</v>
      </c>
      <c r="Q3" s="6" t="s">
        <f>=P3/$P$13</f>
      </c>
    </row>
    <row collapsed="false" customFormat="false" customHeight="false" hidden="false" ht="12.1" outlineLevel="0" r="4">
      <c r="A4" s="16" t="s">
        <v>24</v>
      </c>
      <c r="B4" s="16" t="s">
        <v>17</v>
      </c>
      <c r="C4" s="16" t="s">
        <v>25</v>
      </c>
      <c r="D4" s="16" t="s">
        <v>19</v>
      </c>
      <c r="E4" s="7" t="n">
        <v>1</v>
      </c>
      <c r="F4" s="6" t="n">
        <v>1366.1</v>
      </c>
      <c r="G4" s="17" t="n">
        <v>0</v>
      </c>
      <c r="H4" s="6" t="n">
        <v>0</v>
      </c>
      <c r="I4" s="16"/>
      <c r="J4" s="6" t="s">
        <f>=E4*F4*Портфель!$Q$13</f>
      </c>
      <c r="K4" s="9" t="n">
        <v>0.2185</v>
      </c>
      <c r="L4" s="6" t="n">
        <v>1026.32</v>
      </c>
      <c r="M4" s="17" t="n">
        <v>7.45</v>
      </c>
      <c r="N4" s="16"/>
      <c r="O4" s="16" t="s">
        <v>26</v>
      </c>
      <c r="P4" s="17" t="n">
        <v>53.607737927139</v>
      </c>
      <c r="Q4" s="6" t="s">
        <f>=P4/$P$13</f>
      </c>
    </row>
    <row collapsed="false" customFormat="false" customHeight="false" hidden="false" ht="12.1" outlineLevel="0" r="5">
      <c r="A5" s="16" t="s">
        <v>27</v>
      </c>
      <c r="B5" s="16" t="s">
        <v>17</v>
      </c>
      <c r="C5" s="16" t="s">
        <v>28</v>
      </c>
      <c r="D5" s="16" t="s">
        <v>19</v>
      </c>
      <c r="E5" s="7" t="n">
        <v>10</v>
      </c>
      <c r="F5" s="6" t="n">
        <v>12.076</v>
      </c>
      <c r="G5" s="17" t="n">
        <v>0</v>
      </c>
      <c r="H5" s="6" t="n">
        <v>0</v>
      </c>
      <c r="I5" s="16"/>
      <c r="J5" s="6" t="s">
        <f>=E5*F5*Портфель!$Q$13</f>
      </c>
      <c r="K5" s="9" t="n">
        <v>0.1243</v>
      </c>
      <c r="L5" s="6" t="n">
        <v>10.16</v>
      </c>
      <c r="M5" s="17" t="n">
        <v>0.66</v>
      </c>
      <c r="N5" s="16"/>
      <c r="O5" s="16" t="s">
        <v>29</v>
      </c>
      <c r="P5" s="17" t="n">
        <v>94.1009</v>
      </c>
      <c r="Q5" s="6" t="s">
        <f>=P5/$P$13</f>
      </c>
    </row>
    <row collapsed="false" customFormat="false" customHeight="false" hidden="false" ht="12.1" outlineLevel="0" r="6">
      <c r="A6" s="16"/>
      <c r="B6" s="16"/>
      <c r="C6" s="16"/>
      <c r="D6" s="16"/>
      <c r="E6" s="7"/>
      <c r="F6" s="6"/>
      <c r="G6" s="4"/>
      <c r="H6" s="4" t="s">
        <v>30</v>
      </c>
      <c r="I6" s="4"/>
      <c r="J6" s="5" t="s">
        <f>=SUM(J2:J5)</f>
      </c>
      <c r="K6" s="4"/>
      <c r="L6" s="4"/>
      <c r="M6" s="10" t="s">
        <f>=J6/J12</f>
      </c>
      <c r="N6" s="16"/>
      <c r="O6" s="16" t="s">
        <v>31</v>
      </c>
      <c r="P6" s="17" t="n">
        <v>11.1616</v>
      </c>
      <c r="Q6" s="6" t="s">
        <f>=P6/$P$13</f>
      </c>
    </row>
    <row collapsed="false" customFormat="false" customHeight="false" hidden="false" ht="12.1" outlineLevel="0" r="7">
      <c r="A7" s="16" t="s">
        <v>32</v>
      </c>
      <c r="B7" s="16" t="s">
        <v>33</v>
      </c>
      <c r="C7" s="16" t="s">
        <v>34</v>
      </c>
      <c r="D7" s="16" t="s">
        <v>19</v>
      </c>
      <c r="E7" s="7" t="n">
        <v>4</v>
      </c>
      <c r="F7" s="6" t="n">
        <v>52.636</v>
      </c>
      <c r="G7" s="17" t="n">
        <v>1000</v>
      </c>
      <c r="H7" s="6" t="n">
        <v>7.78</v>
      </c>
      <c r="I7" s="16" t="s">
        <v>35</v>
      </c>
      <c r="J7" s="6" t="s">
        <f>=E7*((F7/100*G7)*Портфель!$Q$13 + H7*Портфель!$Q$13) </f>
      </c>
      <c r="K7" s="9" t="n">
        <v>0.1096</v>
      </c>
      <c r="L7" s="6" t="n">
        <v>543.27</v>
      </c>
      <c r="M7" s="17" t="n">
        <v>11.66</v>
      </c>
      <c r="N7" s="16"/>
      <c r="O7" s="16" t="s">
        <v>36</v>
      </c>
      <c r="P7" s="17" t="n">
        <v>86.5906</v>
      </c>
      <c r="Q7" s="6" t="s">
        <f>=P7/$P$13</f>
      </c>
    </row>
    <row collapsed="false" customFormat="false" customHeight="false" hidden="false" ht="12.1" outlineLevel="0" r="8">
      <c r="A8" s="16"/>
      <c r="B8" s="16"/>
      <c r="C8" s="16"/>
      <c r="D8" s="16"/>
      <c r="E8" s="7"/>
      <c r="F8" s="6"/>
      <c r="G8" s="4"/>
      <c r="H8" s="4" t="s">
        <v>37</v>
      </c>
      <c r="I8" s="4"/>
      <c r="J8" s="5" t="s">
        <f>=SUM(J7:J7)</f>
      </c>
      <c r="K8" s="4"/>
      <c r="L8" s="4"/>
      <c r="M8" s="10" t="s">
        <f>=J8/J12</f>
      </c>
      <c r="N8" s="16"/>
      <c r="O8" s="16" t="s">
        <v>38</v>
      </c>
      <c r="P8" s="17" t="n">
        <v>101.5412</v>
      </c>
      <c r="Q8" s="6" t="s">
        <f>=P8/$P$13</f>
      </c>
    </row>
    <row collapsed="false" customFormat="false" customHeight="false" hidden="false" ht="12.1" outlineLevel="0" r="9">
      <c r="A9" s="16" t="s">
        <v>19</v>
      </c>
      <c r="B9" s="16" t="s">
        <v>3</v>
      </c>
      <c r="C9" s="16" t="s">
        <v>39</v>
      </c>
      <c r="D9" s="16" t="s">
        <v>19</v>
      </c>
      <c r="E9" s="7" t="n">
        <v>2.23</v>
      </c>
      <c r="F9" s="6" t="n">
        <v>1</v>
      </c>
      <c r="G9" s="17" t="n">
        <v>0</v>
      </c>
      <c r="H9" s="6" t="n">
        <v>0</v>
      </c>
      <c r="I9" s="16"/>
      <c r="J9" s="6" t="s">
        <f>=E9*F9</f>
      </c>
      <c r="K9" s="17"/>
      <c r="L9" s="6"/>
      <c r="M9" s="17"/>
      <c r="N9" s="16"/>
      <c r="O9" s="16" t="s">
        <v>40</v>
      </c>
      <c r="P9" s="17" t="n">
        <v>10091</v>
      </c>
      <c r="Q9" s="6" t="s">
        <f>=P9/$P$13</f>
      </c>
    </row>
    <row collapsed="false" customFormat="false" customHeight="false" hidden="false" ht="12.1" outlineLevel="0" r="10">
      <c r="A10" s="16" t="s">
        <v>40</v>
      </c>
      <c r="B10" s="16" t="s">
        <v>3</v>
      </c>
      <c r="C10" s="16" t="s">
        <v>41</v>
      </c>
      <c r="D10" s="16" t="s">
        <v>19</v>
      </c>
      <c r="E10" s="7" t="n">
        <v>1</v>
      </c>
      <c r="F10" s="6" t="n">
        <v>10091</v>
      </c>
      <c r="G10" s="17" t="n">
        <v>0</v>
      </c>
      <c r="H10" s="6" t="n">
        <v>0</v>
      </c>
      <c r="I10" s="16"/>
      <c r="J10" s="6" t="s">
        <f>=E10*F10</f>
      </c>
      <c r="K10" s="17"/>
      <c r="L10" s="6"/>
      <c r="M10" s="17"/>
      <c r="N10" s="16"/>
      <c r="O10" s="16" t="s">
        <v>42</v>
      </c>
      <c r="P10" s="17" t="n">
        <v>9.6887</v>
      </c>
      <c r="Q10" s="6" t="s">
        <f>=P10/$P$13</f>
      </c>
    </row>
    <row collapsed="false" customFormat="false" customHeight="false" hidden="false" ht="12.1" outlineLevel="0" r="11">
      <c r="A11" s="16"/>
      <c r="B11" s="16"/>
      <c r="C11" s="16"/>
      <c r="D11" s="16"/>
      <c r="E11" s="7"/>
      <c r="F11" s="6"/>
      <c r="G11" s="4"/>
      <c r="H11" s="4" t="s">
        <v>43</v>
      </c>
      <c r="I11" s="4"/>
      <c r="J11" s="5" t="s">
        <f>=SUM(J9:J10)</f>
      </c>
      <c r="K11" s="4"/>
      <c r="L11" s="4"/>
      <c r="M11" s="10" t="s">
        <f>=J11/J12</f>
      </c>
      <c r="N11" s="16"/>
      <c r="O11" s="16" t="s">
        <v>44</v>
      </c>
      <c r="P11" s="17" t="n">
        <v>0.44</v>
      </c>
      <c r="Q11" s="6" t="s">
        <f>=P11/$P$13</f>
      </c>
    </row>
    <row collapsed="false" customFormat="false" customHeight="false" hidden="false" ht="12.1" outlineLevel="0" r="12">
      <c r="A12" s="16"/>
      <c r="B12" s="16"/>
      <c r="C12" s="16"/>
      <c r="D12" s="16"/>
      <c r="E12" s="7"/>
      <c r="F12" s="6"/>
      <c r="G12" s="4"/>
      <c r="H12" s="4" t="s">
        <v>45</v>
      </c>
      <c r="I12" s="4"/>
      <c r="J12" s="5" t="s">
        <f>=J6+J8+J11</f>
      </c>
      <c r="K12" s="17"/>
      <c r="L12" s="6"/>
      <c r="M12" s="17"/>
      <c r="N12" s="16"/>
      <c r="O12" s="16" t="s">
        <v>46</v>
      </c>
      <c r="P12" s="17" t="n">
        <v>0.1655</v>
      </c>
      <c r="Q12" s="6" t="s">
        <f>=P12/$P$13</f>
      </c>
    </row>
    <row collapsed="false" customFormat="false" customHeight="false" hidden="false" ht="12.1" outlineLevel="0" r="13">
      <c r="A13" s="16"/>
      <c r="B13" s="16"/>
      <c r="C13" s="16"/>
      <c r="D13" s="16"/>
      <c r="E13" s="7"/>
      <c r="F13" s="6"/>
      <c r="G13" s="17"/>
      <c r="H13" s="6"/>
      <c r="I13" s="16"/>
      <c r="J13" s="6"/>
      <c r="K13" s="17"/>
      <c r="L13" s="6"/>
      <c r="M13" s="17"/>
      <c r="N13" s="16"/>
      <c r="O13" s="16" t="s">
        <v>19</v>
      </c>
      <c r="P13" s="17" t="n">
        <v>1</v>
      </c>
      <c r="Q13" s="6" t="s">
        <f>=P13/$P$13</f>
      </c>
    </row>
    <row collapsed="false" customFormat="false" customHeight="false" hidden="false" ht="12.1" outlineLevel="0" r="14">
      <c r="A14" s="16"/>
      <c r="B14" s="16"/>
      <c r="C14" s="16"/>
      <c r="D14" s="16"/>
      <c r="E14" s="7"/>
      <c r="F14" s="6"/>
      <c r="G14" s="17"/>
      <c r="H14" s="6"/>
      <c r="I14" s="16"/>
      <c r="J14" s="6"/>
      <c r="K14" s="17"/>
      <c r="L14" s="6"/>
      <c r="M14" s="17"/>
      <c r="N14" s="16"/>
      <c r="O14" s="16" t="s">
        <v>47</v>
      </c>
      <c r="P14" s="17" t="n">
        <v>146</v>
      </c>
      <c r="Q14" s="6" t="s">
        <f>=P14/$P$13</f>
      </c>
    </row>
    <row collapsed="false" customFormat="false" customHeight="false" hidden="false" ht="12.1" outlineLevel="0" r="15">
      <c r="A15" s="16"/>
      <c r="B15" s="16"/>
      <c r="C15" s="16"/>
      <c r="D15" s="16"/>
      <c r="E15" s="7"/>
      <c r="F15" s="6"/>
      <c r="G15" s="17"/>
      <c r="H15" s="6"/>
      <c r="I15" s="16"/>
      <c r="J15" s="6"/>
      <c r="K15" s="17"/>
      <c r="L15" s="6"/>
      <c r="M15" s="17"/>
      <c r="N15" s="16"/>
      <c r="O15" s="16" t="s">
        <v>48</v>
      </c>
      <c r="P15" s="17" t="n">
        <v>1.567</v>
      </c>
      <c r="Q15" s="6" t="s">
        <f>=P15/$P$13</f>
      </c>
    </row>
    <row collapsed="false" customFormat="false" customHeight="false" hidden="false" ht="12.1" outlineLevel="0" r="16">
      <c r="A16" s="16"/>
      <c r="B16" s="16"/>
      <c r="C16" s="16"/>
      <c r="D16" s="16"/>
      <c r="E16" s="7"/>
      <c r="F16" s="6"/>
      <c r="G16" s="17"/>
      <c r="H16" s="6"/>
      <c r="I16" s="16"/>
      <c r="J16" s="6"/>
      <c r="K16" s="17"/>
      <c r="L16" s="6"/>
      <c r="M16" s="17"/>
      <c r="N16" s="16"/>
      <c r="O16" s="16" t="s">
        <v>49</v>
      </c>
      <c r="P16" s="17" t="n">
        <v>2.11125</v>
      </c>
      <c r="Q16" s="6" t="s">
        <f>=P16/$P$13</f>
      </c>
    </row>
    <row collapsed="false" customFormat="false" customHeight="false" hidden="false" ht="12.1" outlineLevel="0" r="17">
      <c r="A17" s="16"/>
      <c r="B17" s="16"/>
      <c r="C17" s="16"/>
      <c r="D17" s="16"/>
      <c r="E17" s="7"/>
      <c r="F17" s="6"/>
      <c r="G17" s="17"/>
      <c r="H17" s="6"/>
      <c r="I17" s="16"/>
      <c r="J17" s="6"/>
      <c r="K17" s="17"/>
      <c r="L17" s="6"/>
      <c r="M17" s="17"/>
      <c r="N17" s="16"/>
      <c r="O17" s="16" t="s">
        <v>50</v>
      </c>
      <c r="P17" s="17" t="n">
        <v>75.93</v>
      </c>
      <c r="Q17" s="6" t="s">
        <f>=P17/$P$13</f>
      </c>
    </row>
  </sheetData>
  <mergeCells>
    <mergeCell ref="H6:I6"/>
    <mergeCell ref="H8:I8"/>
    <mergeCell ref="H11:I11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1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60" customWidth="1"/>
    <col min="4" max="4" width="10" customWidth="1"/>
    <col min="5" max="5" width="10" customWidth="1"/>
    <col min="6" max="6" width="10" customWidth="1"/>
    <col min="7" max="7" width="15" customWidth="1"/>
    <col min="8" max="8" width="15" customWidth="1"/>
  </cols>
  <sheetData>
    <row collapsed="false" customFormat="false" customHeight="false" hidden="false" ht="12.1" outlineLevel="0" r="1">
      <c r="A1" s="18" t="s">
        <v>51</v>
      </c>
      <c r="B1" s="18" t="s">
        <v>9</v>
      </c>
      <c r="C1" s="18" t="s">
        <v>52</v>
      </c>
      <c r="D1" s="18" t="s">
        <v>53</v>
      </c>
      <c r="E1" s="18" t="s">
        <v>54</v>
      </c>
      <c r="F1" s="18" t="s">
        <v>55</v>
      </c>
      <c r="G1" s="18" t="s">
        <v>56</v>
      </c>
      <c r="H1" s="18" t="s">
        <v>57</v>
      </c>
    </row>
    <row collapsed="false" customFormat="false" customHeight="false" hidden="false" ht="12.1" outlineLevel="0" r="2">
      <c r="A2" s="13" t="n">
        <v>45646.675</v>
      </c>
      <c r="B2" s="6" t="n">
        <v>1.24</v>
      </c>
      <c r="C2" s="16" t="s">
        <v>58</v>
      </c>
      <c r="D2" s="16"/>
      <c r="E2" s="16"/>
      <c r="F2" s="7" t="n">
        <v>0</v>
      </c>
      <c r="G2" s="6" t="s">
        <f>=B2</f>
      </c>
      <c r="H2" s="6" t="n">
        <v>0</v>
      </c>
    </row>
    <row collapsed="false" customFormat="false" customHeight="false" hidden="false" ht="12.1" outlineLevel="0" r="3">
      <c r="A3" s="13" t="n">
        <v>45652</v>
      </c>
      <c r="B3" s="6" t="n">
        <v>49.5</v>
      </c>
      <c r="C3" s="16" t="s">
        <v>59</v>
      </c>
      <c r="D3" s="16"/>
      <c r="E3" s="16"/>
      <c r="F3" s="6" t="s">
        <f>=A3-A2</f>
      </c>
      <c r="G3" s="6" t="s">
        <f>=B3+G2</f>
      </c>
      <c r="H3" s="6" t="s">
        <f>=F3*G2</f>
      </c>
    </row>
    <row collapsed="false" customFormat="false" customHeight="false" hidden="false" ht="12.1" outlineLevel="0" r="4">
      <c r="A4" s="13" t="n">
        <v>45653</v>
      </c>
      <c r="B4" s="6" t="n">
        <v>297</v>
      </c>
      <c r="C4" s="16" t="s">
        <v>59</v>
      </c>
      <c r="D4" s="16"/>
      <c r="E4" s="16"/>
      <c r="F4" s="6" t="s">
        <f>=A4-A3</f>
      </c>
      <c r="G4" s="6" t="s">
        <f>=B4+G3</f>
      </c>
      <c r="H4" s="6" t="s">
        <f>=F4*G3</f>
      </c>
    </row>
    <row collapsed="false" customFormat="false" customHeight="false" hidden="false" ht="12.1" outlineLevel="0" r="5">
      <c r="A5" s="13" t="n">
        <v>45654</v>
      </c>
      <c r="B5" s="6" t="n">
        <v>346.5</v>
      </c>
      <c r="C5" s="16" t="s">
        <v>59</v>
      </c>
      <c r="D5" s="16"/>
      <c r="E5" s="16"/>
      <c r="F5" s="6" t="s">
        <f>=A5-A4</f>
      </c>
      <c r="G5" s="6" t="s">
        <f>=B5+G4</f>
      </c>
      <c r="H5" s="6" t="s">
        <f>=F5*G4</f>
      </c>
    </row>
    <row collapsed="false" customFormat="false" customHeight="false" hidden="false" ht="12.1" outlineLevel="0" r="6">
      <c r="A6" s="13" t="n">
        <v>45655</v>
      </c>
      <c r="B6" s="6" t="n">
        <v>1000</v>
      </c>
      <c r="C6" s="16" t="s">
        <v>59</v>
      </c>
      <c r="D6" s="16"/>
      <c r="E6" s="16"/>
      <c r="F6" s="6" t="s">
        <f>=A6-A5</f>
      </c>
      <c r="G6" s="6" t="s">
        <f>=B6+G5</f>
      </c>
      <c r="H6" s="6" t="s">
        <f>=F6*G5</f>
      </c>
    </row>
    <row collapsed="false" customFormat="false" customHeight="false" hidden="false" ht="12.1" outlineLevel="0" r="7">
      <c r="A7" s="13" t="n">
        <v>45660</v>
      </c>
      <c r="B7" s="6" t="n">
        <v>10000</v>
      </c>
      <c r="C7" s="16" t="s">
        <v>59</v>
      </c>
      <c r="D7" s="16"/>
      <c r="E7" s="16"/>
      <c r="F7" s="6" t="s">
        <f>=A7-A6</f>
      </c>
      <c r="G7" s="6" t="s">
        <f>=B7+G6</f>
      </c>
      <c r="H7" s="6" t="s">
        <f>=F7*G6</f>
      </c>
    </row>
    <row collapsed="false" customFormat="false" customHeight="false" hidden="false" ht="12.1" outlineLevel="0" r="8">
      <c r="A8" s="13" t="n">
        <v>45675</v>
      </c>
      <c r="B8" s="6" t="n">
        <v>5000</v>
      </c>
      <c r="C8" s="16" t="s">
        <v>59</v>
      </c>
      <c r="D8" s="16"/>
      <c r="E8" s="16"/>
      <c r="F8" s="6" t="s">
        <f>=A8-A7</f>
      </c>
      <c r="G8" s="6" t="s">
        <f>=B8+G7</f>
      </c>
      <c r="H8" s="6" t="s">
        <f>=F8*G7</f>
      </c>
    </row>
    <row collapsed="false" customFormat="false" customHeight="false" hidden="false" ht="12.1" outlineLevel="0" r="9">
      <c r="A9" s="13" t="n">
        <v>45812</v>
      </c>
      <c r="B9" s="6" t="n">
        <v>-123.6</v>
      </c>
      <c r="C9" s="16" t="s">
        <v>60</v>
      </c>
      <c r="D9" s="16"/>
      <c r="E9" s="16"/>
      <c r="F9" s="6" t="s">
        <f>=A9-A8</f>
      </c>
      <c r="G9" s="6" t="s">
        <f>=B9+G8</f>
      </c>
      <c r="H9" s="6" t="s">
        <f>=F9*G8</f>
      </c>
    </row>
    <row collapsed="false" customFormat="false" customHeight="false" hidden="false" ht="12.1" outlineLevel="0" r="10">
      <c r="A10" s="13" t="n">
        <v>45994</v>
      </c>
      <c r="B10" s="6" t="n">
        <v>-123.6</v>
      </c>
      <c r="C10" s="16" t="s">
        <v>60</v>
      </c>
      <c r="D10" s="16"/>
      <c r="E10" s="16"/>
      <c r="F10" s="6" t="s">
        <f>=A10-A9</f>
      </c>
      <c r="G10" s="6" t="s">
        <f>=B10+G9</f>
      </c>
      <c r="H10" s="6" t="s">
        <f>=F10*G9</f>
      </c>
    </row>
    <row collapsed="false" customFormat="false" customHeight="false" hidden="false" ht="12.1" outlineLevel="0" r="11">
      <c r="A11" s="13" t="n">
        <v>46176</v>
      </c>
      <c r="B11" s="6" t="n">
        <v>-123.6</v>
      </c>
      <c r="C11" s="16" t="s">
        <v>60</v>
      </c>
      <c r="D11" s="16"/>
      <c r="E11" s="16"/>
      <c r="F11" s="6" t="s">
        <f>=A11-A10</f>
      </c>
      <c r="G11" s="6" t="s">
        <f>=B11+G10</f>
      </c>
      <c r="H11" s="6" t="s">
        <f>=F11*G10</f>
      </c>
    </row>
    <row collapsed="false" customFormat="false" customHeight="false" hidden="false" ht="12.1" outlineLevel="0" r="12">
      <c r="A12" s="12" t="n">
        <v>46213.713553241</v>
      </c>
      <c r="B12" s="5" t="n">
        <v>-18325.12</v>
      </c>
      <c r="C12" s="14" t="s">
        <v>61</v>
      </c>
      <c r="D12" s="16"/>
      <c r="E12" s="16"/>
      <c r="F12" s="6" t="s">
        <f>=A12-A11</f>
      </c>
      <c r="G12" s="6" t="s">
        <f>=B12+G11</f>
      </c>
      <c r="H12" s="6" t="s">
        <f>=F12*G11</f>
      </c>
    </row>
    <row collapsed="false" customFormat="false" customHeight="false" hidden="false" ht="12.1" outlineLevel="0" r="13">
      <c r="A13" s="13"/>
      <c r="B13" s="9" t="s">
        <f>=XIRR(B2:B12,A2:A12)</f>
      </c>
      <c r="C13" s="16" t="s">
        <v>62</v>
      </c>
      <c r="D13" s="16"/>
      <c r="E13" s="16"/>
      <c r="F13" s="7"/>
      <c r="G13" s="2" t="s">
        <v>63</v>
      </c>
      <c r="H13" s="6" t="s">
        <f>=SUM(I2:H12)/365</f>
      </c>
    </row>
    <row collapsed="false" customFormat="false" customHeight="false" hidden="false" ht="12.1" outlineLevel="0" r="14">
      <c r="A14" s="13"/>
      <c r="B14" s="5" t="s">
        <f>=-SUM(B2:B12)</f>
      </c>
      <c r="C14" s="16" t="s">
        <v>64</v>
      </c>
      <c r="D14" s="16"/>
      <c r="E14" s="16"/>
      <c r="F14" s="7"/>
      <c r="G14" s="14" t="s">
        <v>65</v>
      </c>
      <c r="H14" s="9" t="s">
        <f>=B14/H13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16</v>
      </c>
      <c r="C1" s="0"/>
      <c r="D1" s="0"/>
      <c r="E1" s="4" t="s">
        <v>21</v>
      </c>
      <c r="F1" s="0"/>
      <c r="G1" s="0"/>
      <c r="H1" s="4" t="s">
        <v>24</v>
      </c>
      <c r="I1" s="0"/>
      <c r="J1" s="0"/>
      <c r="K1" s="4" t="s">
        <v>27</v>
      </c>
      <c r="L1" s="0"/>
      <c r="M1" s="0"/>
      <c r="N1" s="4" t="s">
        <v>32</v>
      </c>
      <c r="O1" s="0"/>
    </row>
    <row collapsed="false" customFormat="false" customHeight="false" hidden="false" ht="12.1" outlineLevel="0" r="2">
      <c r="A2" s="11" t="n">
        <v>45652</v>
      </c>
      <c r="B2" s="6" t="n">
        <v>49.88</v>
      </c>
      <c r="C2" s="0" t="s">
        <v>66</v>
      </c>
      <c r="D2" s="11" t="n">
        <v>45660</v>
      </c>
      <c r="E2" s="6" t="n">
        <v>135.89</v>
      </c>
      <c r="F2" s="0" t="s">
        <v>66</v>
      </c>
      <c r="G2" s="11" t="n">
        <v>45660</v>
      </c>
      <c r="H2" s="6" t="n">
        <v>1026.32</v>
      </c>
      <c r="I2" s="0" t="s">
        <v>66</v>
      </c>
      <c r="J2" s="11" t="n">
        <v>45660</v>
      </c>
      <c r="K2" s="6" t="n">
        <v>101.62</v>
      </c>
      <c r="L2" s="0" t="s">
        <v>66</v>
      </c>
      <c r="M2" s="11" t="n">
        <v>45677</v>
      </c>
      <c r="N2" s="6" t="s">
        <f>=1086.54</f>
      </c>
      <c r="O2" s="0" t="s">
        <v>66</v>
      </c>
    </row>
    <row collapsed="false" customFormat="false" customHeight="false" hidden="false" ht="12.1" outlineLevel="0" r="3">
      <c r="A3" s="11" t="n">
        <v>45653</v>
      </c>
      <c r="B3" s="6" t="n">
        <v>296.32</v>
      </c>
      <c r="C3" s="0" t="s">
        <v>66</v>
      </c>
      <c r="D3" s="11" t="n">
        <v>45677</v>
      </c>
      <c r="E3" s="6" t="n">
        <v>143.2</v>
      </c>
      <c r="F3" s="0" t="s">
        <v>66</v>
      </c>
      <c r="G3" s="11" t="n">
        <v>46213</v>
      </c>
      <c r="H3" s="8" t="s">
        <f>=-Портфель!J4</f>
      </c>
      <c r="I3" s="0" t="s">
        <v>67</v>
      </c>
      <c r="J3" s="11" t="n">
        <v>46213</v>
      </c>
      <c r="K3" s="8" t="s">
        <f>=-Портфель!J5</f>
      </c>
      <c r="L3" s="0" t="s">
        <v>67</v>
      </c>
      <c r="M3" s="11" t="n">
        <v>45677</v>
      </c>
      <c r="N3" s="6" t="s">
        <f>=1086.54</f>
      </c>
      <c r="O3" s="0" t="s">
        <v>66</v>
      </c>
    </row>
    <row collapsed="false" customFormat="false" customHeight="false" hidden="false" ht="12.1" outlineLevel="0" r="4">
      <c r="A4" s="11" t="n">
        <v>45655</v>
      </c>
      <c r="B4" s="6" t="n">
        <v>1347.4</v>
      </c>
      <c r="C4" s="0" t="s">
        <v>66</v>
      </c>
      <c r="D4" s="11" t="n">
        <v>45677</v>
      </c>
      <c r="E4" s="6" t="n">
        <v>143.2</v>
      </c>
      <c r="F4" s="0" t="s">
        <v>66</v>
      </c>
      <c r="G4" s="0"/>
      <c r="H4" s="10" t="s">
        <f>=XIRR(H2:H3,G2:G3)</f>
      </c>
      <c r="I4" s="0"/>
      <c r="J4" s="0"/>
      <c r="K4" s="10" t="s">
        <f>=XIRR(K2:K3,J2:J3)</f>
      </c>
      <c r="L4" s="0"/>
      <c r="M4" s="11" t="n">
        <v>45812</v>
      </c>
      <c r="N4" s="6" t="s">
        <f>=-123.6</f>
      </c>
      <c r="O4" s="0" t="s">
        <v>60</v>
      </c>
    </row>
    <row collapsed="false" customFormat="false" customHeight="false" hidden="false" ht="12.1" outlineLevel="0" r="5">
      <c r="A5" s="11" t="n">
        <v>45660</v>
      </c>
      <c r="B5" s="6" t="n">
        <v>-17.24</v>
      </c>
      <c r="C5" s="0" t="s">
        <v>68</v>
      </c>
      <c r="D5" s="11" t="n">
        <v>45677</v>
      </c>
      <c r="E5" s="6" t="n">
        <v>2434.4</v>
      </c>
      <c r="F5" s="0" t="s">
        <v>66</v>
      </c>
      <c r="G5" s="0"/>
      <c r="H5" s="8" t="s">
        <f>=-SUM(H2:H3)</f>
      </c>
      <c r="I5" s="0" t="s">
        <v>69</v>
      </c>
      <c r="J5" s="0"/>
      <c r="K5" s="8" t="s">
        <f>=-SUM(K2:K3)</f>
      </c>
      <c r="L5" s="0" t="s">
        <v>69</v>
      </c>
      <c r="M5" s="11" t="n">
        <v>45994</v>
      </c>
      <c r="N5" s="6" t="s">
        <f>=-123.6</f>
      </c>
      <c r="O5" s="0" t="s">
        <v>60</v>
      </c>
    </row>
    <row collapsed="false" customFormat="false" customHeight="false" hidden="false" ht="12.1" outlineLevel="0" r="6">
      <c r="A6" s="11" t="n">
        <v>45677</v>
      </c>
      <c r="B6" s="6" t="n">
        <v>104.31</v>
      </c>
      <c r="C6" s="0" t="s">
        <v>66</v>
      </c>
      <c r="D6" s="11" t="n">
        <v>46213</v>
      </c>
      <c r="E6" s="8" t="s">
        <f>=-Портфель!J3</f>
      </c>
      <c r="F6" s="0" t="s">
        <v>67</v>
      </c>
      <c r="G6" s="0"/>
      <c r="H6" s="0"/>
      <c r="I6" s="0"/>
      <c r="J6" s="0"/>
      <c r="K6" s="0"/>
      <c r="L6" s="0"/>
      <c r="M6" s="11" t="n">
        <v>46176</v>
      </c>
      <c r="N6" s="6" t="s">
        <f>=-123.6</f>
      </c>
      <c r="O6" s="0" t="s">
        <v>60</v>
      </c>
    </row>
    <row collapsed="false" customFormat="false" customHeight="false" hidden="false" ht="12.1" outlineLevel="0" r="7">
      <c r="A7" s="11" t="n">
        <v>46213</v>
      </c>
      <c r="B7" s="8" t="s">
        <f>=-Портфель!J2</f>
      </c>
      <c r="C7" s="0" t="s">
        <v>67</v>
      </c>
      <c r="D7" s="0"/>
      <c r="E7" s="10" t="s">
        <f>=XIRR(E2:E6,D2:D6)</f>
      </c>
      <c r="F7" s="0"/>
      <c r="G7" s="0"/>
      <c r="H7" s="0"/>
      <c r="I7" s="0"/>
      <c r="J7" s="0"/>
      <c r="K7" s="0"/>
      <c r="L7" s="0"/>
      <c r="M7" s="11" t="n">
        <v>46213</v>
      </c>
      <c r="N7" s="8" t="s">
        <f>=-Портфель!J7</f>
      </c>
      <c r="O7" s="0" t="s">
        <v>67</v>
      </c>
    </row>
    <row collapsed="false" customFormat="false" customHeight="false" hidden="false" ht="12.1" outlineLevel="0" r="8">
      <c r="A8" s="0"/>
      <c r="B8" s="10" t="s">
        <f>=XIRR(B2:B7,A2:A7)</f>
      </c>
      <c r="C8" s="0"/>
      <c r="D8" s="0"/>
      <c r="E8" s="8" t="s">
        <f>=-SUM(E2:E6)</f>
      </c>
      <c r="F8" s="0" t="s">
        <v>69</v>
      </c>
      <c r="G8" s="0"/>
      <c r="H8" s="0"/>
      <c r="I8" s="0"/>
      <c r="J8" s="0"/>
      <c r="K8" s="0"/>
      <c r="L8" s="0"/>
      <c r="M8" s="0"/>
      <c r="N8" s="10" t="s">
        <f>=XIRR(N2:N7,M2:M7)</f>
      </c>
      <c r="O8" s="0"/>
    </row>
    <row collapsed="false" customFormat="false" customHeight="false" hidden="false" ht="12.1" outlineLevel="0" r="9">
      <c r="A9" s="0"/>
      <c r="B9" s="8" t="s">
        <f>=-SUM(B2:B7)</f>
      </c>
      <c r="C9" s="0" t="s">
        <v>69</v>
      </c>
      <c r="D9" s="0"/>
      <c r="E9" s="0"/>
      <c r="F9" s="0"/>
      <c r="G9" s="0"/>
      <c r="H9" s="0"/>
      <c r="I9" s="0"/>
      <c r="J9" s="0"/>
      <c r="K9" s="0"/>
      <c r="L9" s="0"/>
      <c r="M9" s="0"/>
      <c r="N9" s="8" t="s">
        <f>=-SUM(N2:N7)</f>
      </c>
      <c r="O9" s="0" t="s">
        <v>69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3" t="s">
        <v>70</v>
      </c>
      <c r="C1" s="0"/>
      <c r="D1" s="0"/>
      <c r="E1" s="3" t="s">
        <v>71</v>
      </c>
      <c r="F1" s="0"/>
      <c r="G1" s="0"/>
      <c r="H1" s="3" t="s">
        <v>72</v>
      </c>
      <c r="I1" s="0"/>
      <c r="J1" s="0"/>
      <c r="K1" s="3" t="s">
        <v>73</v>
      </c>
      <c r="L1" s="0"/>
      <c r="M1" s="0"/>
      <c r="N1" s="3" t="s">
        <v>74</v>
      </c>
      <c r="O1" s="0"/>
    </row>
    <row collapsed="false" customFormat="false" customHeight="false" hidden="false" ht="12.1" outlineLevel="0" r="2">
      <c r="A2" s="11" t="n">
        <v>45652</v>
      </c>
      <c r="B2" s="6" t="n">
        <v>21</v>
      </c>
      <c r="C2" s="6" t="n">
        <v>32.73375</v>
      </c>
      <c r="D2" s="11" t="n">
        <v>45660</v>
      </c>
      <c r="E2" s="6" t="n">
        <v>1</v>
      </c>
      <c r="F2" s="6" t="n">
        <v>135.89</v>
      </c>
      <c r="G2" s="11" t="n">
        <v>45660</v>
      </c>
      <c r="H2" s="6" t="n">
        <v>1</v>
      </c>
      <c r="I2" s="6" t="n">
        <v>1026.32</v>
      </c>
      <c r="J2" s="11" t="n">
        <v>45660</v>
      </c>
      <c r="K2" s="6" t="n">
        <v>10</v>
      </c>
      <c r="L2" s="6" t="n">
        <v>101.62</v>
      </c>
      <c r="M2" s="11" t="n">
        <v>45677</v>
      </c>
      <c r="N2" s="6" t="n">
        <v>2</v>
      </c>
      <c r="O2" s="6" t="n">
        <v>1086.54</v>
      </c>
    </row>
    <row collapsed="false" customFormat="false" customHeight="false" hidden="false" ht="12.1" outlineLevel="0" r="3">
      <c r="A3" s="11" t="n">
        <v>45653</v>
      </c>
      <c r="B3" s="6" t="n">
        <v>190</v>
      </c>
      <c r="C3" s="6" t="n">
        <v>296.32</v>
      </c>
      <c r="D3" s="11" t="n">
        <v>45677</v>
      </c>
      <c r="E3" s="6" t="n">
        <v>1</v>
      </c>
      <c r="F3" s="6" t="n">
        <v>143.2</v>
      </c>
      <c r="G3" s="0"/>
      <c r="H3" s="5" t="s">
        <f>=SUM(I2:I2)/SUM(H2:H2)</f>
      </c>
      <c r="I3" s="0" t="s">
        <v>11</v>
      </c>
      <c r="J3" s="0"/>
      <c r="K3" s="5" t="s">
        <f>=SUM(L2:L2)/SUM(K2:K2)</f>
      </c>
      <c r="L3" s="0" t="s">
        <v>11</v>
      </c>
      <c r="M3" s="11" t="n">
        <v>45677</v>
      </c>
      <c r="N3" s="6" t="n">
        <v>2</v>
      </c>
      <c r="O3" s="6" t="n">
        <v>1086.54</v>
      </c>
    </row>
    <row collapsed="false" customFormat="false" customHeight="false" hidden="false" ht="12.1" outlineLevel="0" r="4">
      <c r="A4" s="11" t="n">
        <v>45655</v>
      </c>
      <c r="B4" s="6" t="n">
        <v>863</v>
      </c>
      <c r="C4" s="6" t="n">
        <v>1347.4</v>
      </c>
      <c r="D4" s="11" t="n">
        <v>45677</v>
      </c>
      <c r="E4" s="6" t="n">
        <v>1</v>
      </c>
      <c r="F4" s="6" t="n">
        <v>143.2</v>
      </c>
      <c r="G4" s="0"/>
      <c r="H4" s="6" t="n">
        <v>1366.1</v>
      </c>
      <c r="I4" s="0" t="s">
        <v>75</v>
      </c>
      <c r="J4" s="0"/>
      <c r="K4" s="6" t="n">
        <v>12.076</v>
      </c>
      <c r="L4" s="0" t="s">
        <v>75</v>
      </c>
      <c r="M4" s="0"/>
      <c r="N4" s="5" t="s">
        <f>=SUM(O2:O3)/SUM(N2:N3)</f>
      </c>
      <c r="O4" s="0" t="s">
        <v>11</v>
      </c>
    </row>
    <row collapsed="false" customFormat="false" customHeight="false" hidden="false" ht="12.1" outlineLevel="0" r="5">
      <c r="A5" s="11" t="n">
        <v>45677</v>
      </c>
      <c r="B5" s="6" t="n">
        <v>66</v>
      </c>
      <c r="C5" s="6" t="n">
        <v>104.31</v>
      </c>
      <c r="D5" s="11" t="n">
        <v>45677</v>
      </c>
      <c r="E5" s="6" t="n">
        <v>17</v>
      </c>
      <c r="F5" s="6" t="n">
        <v>2434.4</v>
      </c>
      <c r="G5" s="0"/>
      <c r="H5" s="6" t="n">
        <v>1</v>
      </c>
      <c r="I5" s="0" t="s">
        <v>76</v>
      </c>
      <c r="J5" s="0"/>
      <c r="K5" s="6" t="n">
        <v>10</v>
      </c>
      <c r="L5" s="0" t="s">
        <v>76</v>
      </c>
      <c r="M5" s="0"/>
      <c r="N5" s="6" t="n">
        <v>52.636</v>
      </c>
      <c r="O5" s="0" t="s">
        <v>75</v>
      </c>
    </row>
    <row collapsed="false" customFormat="false" customHeight="false" hidden="false" ht="12.1" outlineLevel="0" r="6">
      <c r="A6" s="0"/>
      <c r="B6" s="5" t="s">
        <f>=SUM(C2:C5)/SUM(B2:B5)</f>
      </c>
      <c r="C6" s="0" t="s">
        <v>11</v>
      </c>
      <c r="D6" s="0"/>
      <c r="E6" s="5" t="s">
        <f>=SUM(F2:F5)/SUM(E2:E5)</f>
      </c>
      <c r="F6" s="0" t="s">
        <v>11</v>
      </c>
      <c r="G6" s="0"/>
      <c r="H6" s="5" t="s">
        <f>=H5*(ABS(H4)-ABS(H3))</f>
      </c>
      <c r="I6" s="0" t="s">
        <v>77</v>
      </c>
      <c r="J6" s="0"/>
      <c r="K6" s="5" t="s">
        <f>=K5*(ABS(K4)-ABS(K3))</f>
      </c>
      <c r="L6" s="0" t="s">
        <v>77</v>
      </c>
      <c r="M6" s="0"/>
      <c r="N6" s="6" t="n">
        <v>4</v>
      </c>
      <c r="O6" s="0" t="s">
        <v>76</v>
      </c>
    </row>
    <row collapsed="false" customFormat="false" customHeight="false" hidden="false" ht="12.1" outlineLevel="0" r="7">
      <c r="A7" s="0"/>
      <c r="B7" s="6" t="n">
        <v>2.0355</v>
      </c>
      <c r="C7" s="0" t="s">
        <v>75</v>
      </c>
      <c r="D7" s="0"/>
      <c r="E7" s="6" t="n">
        <v>114.4</v>
      </c>
      <c r="F7" s="0" t="s">
        <v>75</v>
      </c>
      <c r="G7" s="0"/>
      <c r="H7" s="0"/>
      <c r="I7" s="0"/>
      <c r="J7" s="0"/>
      <c r="K7" s="0"/>
      <c r="L7" s="0"/>
      <c r="M7" s="0"/>
      <c r="N7" s="6" t="s">
        <f>=Портфель!G7*Портфель!$Q$13</f>
      </c>
      <c r="O7" s="0" t="s">
        <v>6</v>
      </c>
    </row>
    <row collapsed="false" customFormat="false" customHeight="false" hidden="false" ht="12.1" outlineLevel="0" r="8">
      <c r="A8" s="0"/>
      <c r="B8" s="6" t="n">
        <v>1140</v>
      </c>
      <c r="C8" s="0" t="s">
        <v>76</v>
      </c>
      <c r="D8" s="0"/>
      <c r="E8" s="6" t="n">
        <v>20</v>
      </c>
      <c r="F8" s="0" t="s">
        <v>76</v>
      </c>
      <c r="G8" s="0"/>
      <c r="H8" s="0"/>
      <c r="I8" s="0"/>
      <c r="J8" s="0"/>
      <c r="K8" s="0"/>
      <c r="L8" s="0"/>
      <c r="M8" s="0"/>
      <c r="N8" s="6" t="s">
        <f>=Портфель!H7*Портфель!$Q$13</f>
      </c>
      <c r="O8" s="0" t="s">
        <v>7</v>
      </c>
    </row>
    <row collapsed="false" customFormat="false" customHeight="false" hidden="false" ht="12.1" outlineLevel="0" r="9">
      <c r="A9" s="0"/>
      <c r="B9" s="5" t="s">
        <f>=B8*(ABS(B7)-ABS(B6))</f>
      </c>
      <c r="C9" s="0" t="s">
        <v>77</v>
      </c>
      <c r="D9" s="0"/>
      <c r="E9" s="5" t="s">
        <f>=E8*(ABS(E7)-ABS(E6))</f>
      </c>
      <c r="F9" s="0" t="s">
        <v>77</v>
      </c>
      <c r="G9" s="0"/>
      <c r="H9" s="0"/>
      <c r="I9" s="0"/>
      <c r="J9" s="0"/>
      <c r="K9" s="0"/>
      <c r="L9" s="0"/>
      <c r="M9" s="0"/>
      <c r="N9" s="5" t="s">
        <f>=N6*(N7*N5/100-N4+N8)</f>
      </c>
      <c r="O9" s="0" t="s">
        <v>77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2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3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0" customWidth="1"/>
    <col min="12" max="12" width="10" customWidth="1"/>
    <col min="13" max="13" width="15" customWidth="1"/>
    <col min="14" max="14" width="15" customWidth="1"/>
    <col min="15" max="15" width="15" customWidth="1"/>
    <col min="16" max="16" width="15" customWidth="1"/>
    <col min="17" max="17" width="15" customWidth="1"/>
    <col min="18" max="18" width="15" customWidth="1"/>
    <col min="19" max="19" width="15" customWidth="1"/>
  </cols>
  <sheetData>
    <row collapsed="false" customFormat="false" customHeight="false" hidden="false" ht="12.1" outlineLevel="0" r="1">
      <c r="A1" s="18" t="s">
        <v>51</v>
      </c>
      <c r="B1" s="18" t="s">
        <v>0</v>
      </c>
      <c r="C1" s="18" t="s">
        <v>2</v>
      </c>
      <c r="D1" s="18" t="s">
        <v>78</v>
      </c>
      <c r="E1" s="18" t="s">
        <v>1</v>
      </c>
      <c r="F1" s="18" t="s">
        <v>3</v>
      </c>
      <c r="G1" s="18" t="s">
        <v>4</v>
      </c>
      <c r="H1" s="18" t="s">
        <v>5</v>
      </c>
      <c r="I1" s="18" t="s">
        <v>9</v>
      </c>
      <c r="J1" s="18" t="s">
        <v>7</v>
      </c>
      <c r="K1" s="18" t="s">
        <v>79</v>
      </c>
      <c r="L1" s="18" t="s">
        <v>80</v>
      </c>
      <c r="M1" s="18" t="s">
        <v>19</v>
      </c>
      <c r="N1" s="18" t="s">
        <v>40</v>
      </c>
      <c r="O1" s="18" t="s">
        <v>81</v>
      </c>
    </row>
    <row collapsed="false" customFormat="false" customHeight="false" hidden="false" ht="12.1" outlineLevel="0" r="2">
      <c r="A2" s="21" t="n">
        <v>45646.675</v>
      </c>
      <c r="B2" s="22" t="s">
        <v>82</v>
      </c>
      <c r="C2" s="22" t="s">
        <v>58</v>
      </c>
      <c r="D2" s="22" t="s">
        <v>82</v>
      </c>
      <c r="E2" s="22" t="s">
        <v>82</v>
      </c>
      <c r="F2" s="22" t="s">
        <v>19</v>
      </c>
      <c r="G2" s="23" t="n">
        <v>1.24</v>
      </c>
      <c r="H2" s="24" t="n">
        <v>1</v>
      </c>
      <c r="I2" s="24" t="n">
        <v>1.24</v>
      </c>
      <c r="J2" s="24" t="n">
        <v>0</v>
      </c>
      <c r="K2" s="24" t="n">
        <v>-0</v>
      </c>
      <c r="L2" s="24" t="n">
        <v>-0</v>
      </c>
      <c r="M2" s="6" t="s">
        <f>=I2+J2+K2+L2</f>
      </c>
      <c r="N2" s="24"/>
      <c r="O2" s="22"/>
    </row>
    <row collapsed="false" customFormat="false" customHeight="false" hidden="false" ht="12.1" outlineLevel="0" r="3">
      <c r="A3" s="21" t="n">
        <v>45652</v>
      </c>
      <c r="B3" s="22" t="s">
        <v>82</v>
      </c>
      <c r="C3" s="22" t="s">
        <v>59</v>
      </c>
      <c r="D3" s="22" t="s">
        <v>82</v>
      </c>
      <c r="E3" s="22" t="s">
        <v>82</v>
      </c>
      <c r="F3" s="22" t="s">
        <v>19</v>
      </c>
      <c r="G3" s="23" t="n">
        <v>1</v>
      </c>
      <c r="H3" s="24" t="n">
        <v>49.5</v>
      </c>
      <c r="I3" s="24" t="n">
        <v>49.5</v>
      </c>
      <c r="J3" s="24" t="n">
        <v>0</v>
      </c>
      <c r="K3" s="24" t="n">
        <v>-0</v>
      </c>
      <c r="L3" s="24" t="n">
        <v>-0</v>
      </c>
      <c r="M3" s="6" t="s">
        <f>=I3+J3+K3+L3</f>
      </c>
      <c r="N3" s="24"/>
      <c r="O3" s="22"/>
    </row>
    <row collapsed="false" customFormat="false" customHeight="false" hidden="false" ht="12.1" outlineLevel="0" r="4">
      <c r="A4" s="20" t="n">
        <v>45652.783125</v>
      </c>
      <c r="B4" s="16" t="s">
        <v>16</v>
      </c>
      <c r="C4" s="16" t="s">
        <v>83</v>
      </c>
      <c r="D4" s="16" t="s">
        <v>66</v>
      </c>
      <c r="E4" s="16" t="s">
        <v>17</v>
      </c>
      <c r="F4" s="16" t="s">
        <v>19</v>
      </c>
      <c r="G4" s="7" t="n">
        <v>32</v>
      </c>
      <c r="H4" s="6" t="n">
        <v>1.55875</v>
      </c>
      <c r="I4" s="6" t="n">
        <v>-49.88</v>
      </c>
      <c r="J4" s="6" t="n">
        <v>-0</v>
      </c>
      <c r="K4" s="6" t="n">
        <v>-0</v>
      </c>
      <c r="L4" s="6" t="n">
        <v>-0</v>
      </c>
      <c r="M4" s="6" t="s">
        <f>=I4+J4+K4+L4</f>
      </c>
      <c r="N4" s="6"/>
      <c r="O4" s="16"/>
    </row>
    <row collapsed="false" customFormat="false" customHeight="false" hidden="false" ht="12.1" outlineLevel="0" r="5">
      <c r="A5" s="21" t="n">
        <v>45653</v>
      </c>
      <c r="B5" s="22" t="s">
        <v>82</v>
      </c>
      <c r="C5" s="22" t="s">
        <v>59</v>
      </c>
      <c r="D5" s="22" t="s">
        <v>82</v>
      </c>
      <c r="E5" s="22" t="s">
        <v>82</v>
      </c>
      <c r="F5" s="22" t="s">
        <v>19</v>
      </c>
      <c r="G5" s="23" t="n">
        <v>1</v>
      </c>
      <c r="H5" s="24" t="n">
        <v>297</v>
      </c>
      <c r="I5" s="24" t="n">
        <v>297</v>
      </c>
      <c r="J5" s="24" t="n">
        <v>0</v>
      </c>
      <c r="K5" s="24" t="n">
        <v>-0</v>
      </c>
      <c r="L5" s="24" t="n">
        <v>-0</v>
      </c>
      <c r="M5" s="6" t="s">
        <f>=I5+J5+K5+L5</f>
      </c>
      <c r="N5" s="24"/>
      <c r="O5" s="22"/>
    </row>
    <row collapsed="false" customFormat="false" customHeight="false" hidden="false" ht="12.1" outlineLevel="0" r="6">
      <c r="A6" s="20" t="n">
        <v>45653.795393519</v>
      </c>
      <c r="B6" s="16" t="s">
        <v>16</v>
      </c>
      <c r="C6" s="16" t="s">
        <v>83</v>
      </c>
      <c r="D6" s="16" t="s">
        <v>66</v>
      </c>
      <c r="E6" s="16" t="s">
        <v>17</v>
      </c>
      <c r="F6" s="16" t="s">
        <v>19</v>
      </c>
      <c r="G6" s="7" t="n">
        <v>190</v>
      </c>
      <c r="H6" s="6" t="n">
        <v>1.559579</v>
      </c>
      <c r="I6" s="6" t="n">
        <v>-296.32</v>
      </c>
      <c r="J6" s="6" t="n">
        <v>-0</v>
      </c>
      <c r="K6" s="6" t="n">
        <v>-0</v>
      </c>
      <c r="L6" s="6" t="n">
        <v>-0</v>
      </c>
      <c r="M6" s="6" t="s">
        <f>=I6+J6+K6+L6</f>
      </c>
      <c r="N6" s="6"/>
      <c r="O6" s="16"/>
    </row>
    <row collapsed="false" customFormat="false" customHeight="false" hidden="false" ht="12.1" outlineLevel="0" r="7">
      <c r="A7" s="21" t="n">
        <v>45654</v>
      </c>
      <c r="B7" s="22" t="s">
        <v>82</v>
      </c>
      <c r="C7" s="22" t="s">
        <v>59</v>
      </c>
      <c r="D7" s="22" t="s">
        <v>82</v>
      </c>
      <c r="E7" s="22" t="s">
        <v>82</v>
      </c>
      <c r="F7" s="22" t="s">
        <v>19</v>
      </c>
      <c r="G7" s="23" t="n">
        <v>1</v>
      </c>
      <c r="H7" s="24" t="n">
        <v>346.5</v>
      </c>
      <c r="I7" s="24" t="n">
        <v>346.5</v>
      </c>
      <c r="J7" s="24" t="n">
        <v>0</v>
      </c>
      <c r="K7" s="24" t="n">
        <v>-0</v>
      </c>
      <c r="L7" s="24" t="n">
        <v>-0</v>
      </c>
      <c r="M7" s="6" t="s">
        <f>=I7+J7+K7+L7</f>
      </c>
      <c r="N7" s="24"/>
      <c r="O7" s="22"/>
    </row>
    <row collapsed="false" customFormat="false" customHeight="false" hidden="false" ht="12.1" outlineLevel="0" r="8">
      <c r="A8" s="21" t="n">
        <v>45655</v>
      </c>
      <c r="B8" s="22" t="s">
        <v>82</v>
      </c>
      <c r="C8" s="22" t="s">
        <v>59</v>
      </c>
      <c r="D8" s="22" t="s">
        <v>82</v>
      </c>
      <c r="E8" s="22" t="s">
        <v>82</v>
      </c>
      <c r="F8" s="22" t="s">
        <v>19</v>
      </c>
      <c r="G8" s="23" t="n">
        <v>1</v>
      </c>
      <c r="H8" s="24" t="n">
        <v>1000</v>
      </c>
      <c r="I8" s="24" t="n">
        <v>1000</v>
      </c>
      <c r="J8" s="24" t="n">
        <v>0</v>
      </c>
      <c r="K8" s="24" t="n">
        <v>-0</v>
      </c>
      <c r="L8" s="24" t="n">
        <v>-0</v>
      </c>
      <c r="M8" s="6" t="s">
        <f>=I8+J8+K8+L8</f>
      </c>
      <c r="N8" s="24"/>
      <c r="O8" s="22"/>
    </row>
    <row collapsed="false" customFormat="false" customHeight="false" hidden="false" ht="12.1" outlineLevel="0" r="9">
      <c r="A9" s="20" t="n">
        <v>45655.422928241</v>
      </c>
      <c r="B9" s="16" t="s">
        <v>16</v>
      </c>
      <c r="C9" s="16" t="s">
        <v>83</v>
      </c>
      <c r="D9" s="16" t="s">
        <v>66</v>
      </c>
      <c r="E9" s="16" t="s">
        <v>17</v>
      </c>
      <c r="F9" s="16" t="s">
        <v>19</v>
      </c>
      <c r="G9" s="7" t="n">
        <v>863</v>
      </c>
      <c r="H9" s="6" t="n">
        <v>1.561298</v>
      </c>
      <c r="I9" s="6" t="n">
        <v>-1347.4</v>
      </c>
      <c r="J9" s="6" t="n">
        <v>-0</v>
      </c>
      <c r="K9" s="6" t="n">
        <v>-0</v>
      </c>
      <c r="L9" s="6" t="n">
        <v>-0</v>
      </c>
      <c r="M9" s="6" t="s">
        <f>=I9+J9+K9+L9</f>
      </c>
      <c r="N9" s="6"/>
      <c r="O9" s="16"/>
    </row>
    <row collapsed="false" customFormat="false" customHeight="false" hidden="false" ht="12.1" outlineLevel="0" r="10">
      <c r="A10" s="21" t="n">
        <v>45660</v>
      </c>
      <c r="B10" s="22" t="s">
        <v>82</v>
      </c>
      <c r="C10" s="22" t="s">
        <v>59</v>
      </c>
      <c r="D10" s="22" t="s">
        <v>82</v>
      </c>
      <c r="E10" s="22" t="s">
        <v>82</v>
      </c>
      <c r="F10" s="22" t="s">
        <v>19</v>
      </c>
      <c r="G10" s="23" t="n">
        <v>1</v>
      </c>
      <c r="H10" s="24" t="n">
        <v>10000</v>
      </c>
      <c r="I10" s="24" t="n">
        <v>10000</v>
      </c>
      <c r="J10" s="24" t="n">
        <v>0</v>
      </c>
      <c r="K10" s="24" t="n">
        <v>-0</v>
      </c>
      <c r="L10" s="24" t="n">
        <v>-0</v>
      </c>
      <c r="M10" s="6" t="s">
        <f>=I10+J10+K10+L10</f>
      </c>
      <c r="N10" s="24"/>
      <c r="O10" s="22"/>
    </row>
    <row collapsed="false" customFormat="false" customHeight="false" hidden="false" ht="12.1" outlineLevel="0" r="11">
      <c r="A11" s="20" t="n">
        <v>45660.751168981</v>
      </c>
      <c r="B11" s="16" t="s">
        <v>84</v>
      </c>
      <c r="C11" s="16" t="s">
        <v>85</v>
      </c>
      <c r="D11" s="16" t="s">
        <v>66</v>
      </c>
      <c r="E11" s="16" t="s">
        <v>86</v>
      </c>
      <c r="F11" s="16" t="s">
        <v>19</v>
      </c>
      <c r="G11" s="7" t="n">
        <v>1</v>
      </c>
      <c r="H11" s="6" t="n">
        <v>8730.8</v>
      </c>
      <c r="I11" s="6" t="n">
        <v>-8730.8</v>
      </c>
      <c r="J11" s="6" t="n">
        <v>-0</v>
      </c>
      <c r="K11" s="6" t="n">
        <v>-22.83</v>
      </c>
      <c r="L11" s="6" t="n">
        <v>-0</v>
      </c>
      <c r="M11" s="6" t="s">
        <f>=I11+J11+K11+L11</f>
      </c>
      <c r="N11" s="6"/>
      <c r="O11" s="16"/>
    </row>
    <row collapsed="false" customFormat="false" customHeight="false" hidden="false" ht="12.1" outlineLevel="0" r="12">
      <c r="A12" s="20" t="n">
        <v>45660.754756944</v>
      </c>
      <c r="B12" s="16" t="s">
        <v>24</v>
      </c>
      <c r="C12" s="16" t="s">
        <v>87</v>
      </c>
      <c r="D12" s="16" t="s">
        <v>66</v>
      </c>
      <c r="E12" s="16" t="s">
        <v>17</v>
      </c>
      <c r="F12" s="16" t="s">
        <v>19</v>
      </c>
      <c r="G12" s="7" t="n">
        <v>1</v>
      </c>
      <c r="H12" s="6" t="n">
        <v>1025.5</v>
      </c>
      <c r="I12" s="6" t="n">
        <v>-1025.5</v>
      </c>
      <c r="J12" s="6" t="n">
        <v>-0</v>
      </c>
      <c r="K12" s="6" t="n">
        <v>-0.82</v>
      </c>
      <c r="L12" s="6" t="n">
        <v>-0</v>
      </c>
      <c r="M12" s="6" t="s">
        <f>=I12+J12+K12+L12</f>
      </c>
      <c r="N12" s="6"/>
      <c r="O12" s="16"/>
    </row>
    <row collapsed="false" customFormat="false" customHeight="false" hidden="false" ht="12.1" outlineLevel="0" r="13">
      <c r="A13" s="20" t="n">
        <v>45660.755636574</v>
      </c>
      <c r="B13" s="16" t="s">
        <v>21</v>
      </c>
      <c r="C13" s="16" t="s">
        <v>88</v>
      </c>
      <c r="D13" s="16" t="s">
        <v>66</v>
      </c>
      <c r="E13" s="16" t="s">
        <v>17</v>
      </c>
      <c r="F13" s="16" t="s">
        <v>19</v>
      </c>
      <c r="G13" s="7" t="n">
        <v>1</v>
      </c>
      <c r="H13" s="6" t="n">
        <v>135.85</v>
      </c>
      <c r="I13" s="6" t="n">
        <v>-135.85</v>
      </c>
      <c r="J13" s="6" t="n">
        <v>-0</v>
      </c>
      <c r="K13" s="6" t="n">
        <v>-0.04</v>
      </c>
      <c r="L13" s="6" t="n">
        <v>-0</v>
      </c>
      <c r="M13" s="6" t="s">
        <f>=I13+J13+K13+L13</f>
      </c>
      <c r="N13" s="6"/>
      <c r="O13" s="16"/>
    </row>
    <row collapsed="false" customFormat="false" customHeight="false" hidden="false" ht="12.1" outlineLevel="0" r="14">
      <c r="A14" s="20" t="n">
        <v>45660.756319444</v>
      </c>
      <c r="B14" s="16" t="s">
        <v>27</v>
      </c>
      <c r="C14" s="16" t="s">
        <v>89</v>
      </c>
      <c r="D14" s="16" t="s">
        <v>66</v>
      </c>
      <c r="E14" s="16" t="s">
        <v>17</v>
      </c>
      <c r="F14" s="16" t="s">
        <v>19</v>
      </c>
      <c r="G14" s="7" t="n">
        <v>10</v>
      </c>
      <c r="H14" s="6" t="n">
        <v>10.154</v>
      </c>
      <c r="I14" s="6" t="n">
        <v>-101.54</v>
      </c>
      <c r="J14" s="6" t="n">
        <v>-0</v>
      </c>
      <c r="K14" s="6" t="n">
        <v>-0.08</v>
      </c>
      <c r="L14" s="6" t="n">
        <v>-0</v>
      </c>
      <c r="M14" s="6" t="s">
        <f>=I14+J14+K14+L14</f>
      </c>
      <c r="N14" s="6"/>
      <c r="O14" s="16"/>
    </row>
    <row collapsed="false" customFormat="false" customHeight="false" hidden="false" ht="12.1" outlineLevel="0" r="15">
      <c r="A15" s="25" t="n">
        <v>45660.757395833</v>
      </c>
      <c r="B15" s="26" t="s">
        <v>16</v>
      </c>
      <c r="C15" s="26" t="s">
        <v>83</v>
      </c>
      <c r="D15" s="26" t="s">
        <v>68</v>
      </c>
      <c r="E15" s="26" t="s">
        <v>17</v>
      </c>
      <c r="F15" s="26" t="s">
        <v>19</v>
      </c>
      <c r="G15" s="27" t="n">
        <v>-11</v>
      </c>
      <c r="H15" s="28" t="n">
        <v>1.567273</v>
      </c>
      <c r="I15" s="28" t="n">
        <v>17.24</v>
      </c>
      <c r="J15" s="28" t="n">
        <v>0</v>
      </c>
      <c r="K15" s="28" t="n">
        <v>-0</v>
      </c>
      <c r="L15" s="28" t="n">
        <v>-0</v>
      </c>
      <c r="M15" s="6" t="s">
        <f>=I15+J15+K15+L15</f>
      </c>
      <c r="N15" s="28"/>
      <c r="O15" s="26"/>
    </row>
    <row collapsed="false" customFormat="false" customHeight="false" hidden="false" ht="12.1" outlineLevel="0" r="16">
      <c r="A16" s="21" t="n">
        <v>45675</v>
      </c>
      <c r="B16" s="22" t="s">
        <v>82</v>
      </c>
      <c r="C16" s="22" t="s">
        <v>59</v>
      </c>
      <c r="D16" s="22" t="s">
        <v>82</v>
      </c>
      <c r="E16" s="22" t="s">
        <v>82</v>
      </c>
      <c r="F16" s="22" t="s">
        <v>19</v>
      </c>
      <c r="G16" s="23" t="n">
        <v>1</v>
      </c>
      <c r="H16" s="24" t="n">
        <v>5000</v>
      </c>
      <c r="I16" s="24" t="n">
        <v>5000</v>
      </c>
      <c r="J16" s="24" t="n">
        <v>0</v>
      </c>
      <c r="K16" s="24" t="n">
        <v>-0</v>
      </c>
      <c r="L16" s="24" t="n">
        <v>-0</v>
      </c>
      <c r="M16" s="6" t="s">
        <f>=I16+J16+K16+L16</f>
      </c>
      <c r="N16" s="24"/>
      <c r="O16" s="22"/>
    </row>
    <row collapsed="false" customFormat="false" customHeight="false" hidden="false" ht="12.1" outlineLevel="0" r="17">
      <c r="A17" s="20" t="n">
        <v>45677.419849537</v>
      </c>
      <c r="B17" s="16" t="s">
        <v>32</v>
      </c>
      <c r="C17" s="16" t="s">
        <v>90</v>
      </c>
      <c r="D17" s="16" t="s">
        <v>66</v>
      </c>
      <c r="E17" s="16" t="s">
        <v>33</v>
      </c>
      <c r="F17" s="16" t="s">
        <v>19</v>
      </c>
      <c r="G17" s="7" t="n">
        <v>2</v>
      </c>
      <c r="H17" s="6" t="n">
        <v>53.362</v>
      </c>
      <c r="I17" s="6" t="n">
        <v>-1067.24</v>
      </c>
      <c r="J17" s="6" t="n">
        <v>-18.68</v>
      </c>
      <c r="K17" s="6" t="n">
        <v>-0.62</v>
      </c>
      <c r="L17" s="6" t="n">
        <v>-0</v>
      </c>
      <c r="M17" s="6" t="s">
        <f>=I17+J17+K17+L17</f>
      </c>
      <c r="N17" s="6"/>
      <c r="O17" s="16"/>
    </row>
    <row collapsed="false" customFormat="false" customHeight="false" hidden="false" ht="12.1" outlineLevel="0" r="18">
      <c r="A18" s="20" t="n">
        <v>45677.419861111</v>
      </c>
      <c r="B18" s="16" t="s">
        <v>32</v>
      </c>
      <c r="C18" s="16" t="s">
        <v>90</v>
      </c>
      <c r="D18" s="16" t="s">
        <v>66</v>
      </c>
      <c r="E18" s="16" t="s">
        <v>33</v>
      </c>
      <c r="F18" s="16" t="s">
        <v>19</v>
      </c>
      <c r="G18" s="7" t="n">
        <v>2</v>
      </c>
      <c r="H18" s="6" t="n">
        <v>53.362</v>
      </c>
      <c r="I18" s="6" t="n">
        <v>-1067.24</v>
      </c>
      <c r="J18" s="6" t="n">
        <v>-18.68</v>
      </c>
      <c r="K18" s="6" t="n">
        <v>-0.62</v>
      </c>
      <c r="L18" s="6" t="n">
        <v>-0</v>
      </c>
      <c r="M18" s="6" t="s">
        <f>=I18+J18+K18+L18</f>
      </c>
      <c r="N18" s="6"/>
      <c r="O18" s="16"/>
    </row>
    <row collapsed="false" customFormat="false" customHeight="false" hidden="false" ht="12.1" outlineLevel="0" r="19">
      <c r="A19" s="20" t="n">
        <v>45677.42599537</v>
      </c>
      <c r="B19" s="16" t="s">
        <v>21</v>
      </c>
      <c r="C19" s="16" t="s">
        <v>88</v>
      </c>
      <c r="D19" s="16" t="s">
        <v>66</v>
      </c>
      <c r="E19" s="16" t="s">
        <v>17</v>
      </c>
      <c r="F19" s="16" t="s">
        <v>19</v>
      </c>
      <c r="G19" s="7" t="n">
        <v>1</v>
      </c>
      <c r="H19" s="6" t="n">
        <v>143.2</v>
      </c>
      <c r="I19" s="6" t="n">
        <v>-143.2</v>
      </c>
      <c r="J19" s="6" t="n">
        <v>-0</v>
      </c>
      <c r="K19" s="6" t="n">
        <v>-0</v>
      </c>
      <c r="L19" s="6" t="n">
        <v>-0</v>
      </c>
      <c r="M19" s="6" t="s">
        <f>=I19+J19+K19+L19</f>
      </c>
      <c r="N19" s="6"/>
      <c r="O19" s="16"/>
    </row>
    <row collapsed="false" customFormat="false" customHeight="false" hidden="false" ht="12.1" outlineLevel="0" r="20">
      <c r="A20" s="20" t="n">
        <v>45677.426516204</v>
      </c>
      <c r="B20" s="16" t="s">
        <v>21</v>
      </c>
      <c r="C20" s="16" t="s">
        <v>88</v>
      </c>
      <c r="D20" s="16" t="s">
        <v>66</v>
      </c>
      <c r="E20" s="16" t="s">
        <v>17</v>
      </c>
      <c r="F20" s="16" t="s">
        <v>19</v>
      </c>
      <c r="G20" s="7" t="n">
        <v>1</v>
      </c>
      <c r="H20" s="6" t="n">
        <v>143.2</v>
      </c>
      <c r="I20" s="6" t="n">
        <v>-143.2</v>
      </c>
      <c r="J20" s="6" t="n">
        <v>-0</v>
      </c>
      <c r="K20" s="6" t="n">
        <v>-0</v>
      </c>
      <c r="L20" s="6" t="n">
        <v>-0</v>
      </c>
      <c r="M20" s="6" t="s">
        <f>=I20+J20+K20+L20</f>
      </c>
      <c r="N20" s="6"/>
      <c r="O20" s="16"/>
    </row>
    <row collapsed="false" customFormat="false" customHeight="false" hidden="false" ht="12.1" outlineLevel="0" r="21">
      <c r="A21" s="20" t="n">
        <v>45677.426793981</v>
      </c>
      <c r="B21" s="16" t="s">
        <v>21</v>
      </c>
      <c r="C21" s="16" t="s">
        <v>88</v>
      </c>
      <c r="D21" s="16" t="s">
        <v>66</v>
      </c>
      <c r="E21" s="16" t="s">
        <v>17</v>
      </c>
      <c r="F21" s="16" t="s">
        <v>19</v>
      </c>
      <c r="G21" s="7" t="n">
        <v>17</v>
      </c>
      <c r="H21" s="6" t="n">
        <v>143.2</v>
      </c>
      <c r="I21" s="6" t="n">
        <v>-2434.4</v>
      </c>
      <c r="J21" s="6" t="n">
        <v>-0</v>
      </c>
      <c r="K21" s="6" t="n">
        <v>-0</v>
      </c>
      <c r="L21" s="6" t="n">
        <v>-0</v>
      </c>
      <c r="M21" s="6" t="s">
        <f>=I21+J21+K21+L21</f>
      </c>
      <c r="N21" s="6"/>
      <c r="O21" s="16"/>
    </row>
    <row collapsed="false" customFormat="false" customHeight="false" hidden="false" ht="12.1" outlineLevel="0" r="22">
      <c r="A22" s="20" t="n">
        <v>45677.428831019</v>
      </c>
      <c r="B22" s="16" t="s">
        <v>16</v>
      </c>
      <c r="C22" s="16" t="s">
        <v>83</v>
      </c>
      <c r="D22" s="16" t="s">
        <v>66</v>
      </c>
      <c r="E22" s="16" t="s">
        <v>17</v>
      </c>
      <c r="F22" s="16" t="s">
        <v>19</v>
      </c>
      <c r="G22" s="7" t="n">
        <v>66</v>
      </c>
      <c r="H22" s="6" t="n">
        <v>1.580455</v>
      </c>
      <c r="I22" s="6" t="n">
        <v>-104.31</v>
      </c>
      <c r="J22" s="6" t="n">
        <v>-0</v>
      </c>
      <c r="K22" s="6" t="n">
        <v>-0</v>
      </c>
      <c r="L22" s="6" t="n">
        <v>-0</v>
      </c>
      <c r="M22" s="6" t="s">
        <f>=I22+J22+K22+L22</f>
      </c>
      <c r="N22" s="6"/>
      <c r="O22" s="16"/>
    </row>
    <row collapsed="false" customFormat="false" customHeight="false" hidden="false" ht="12.1" outlineLevel="0" r="23">
      <c r="A23" s="25" t="n">
        <v>46213.713553241</v>
      </c>
      <c r="B23" s="26" t="s">
        <v>84</v>
      </c>
      <c r="C23" s="26" t="s">
        <v>84</v>
      </c>
      <c r="D23" s="26" t="s">
        <v>76</v>
      </c>
      <c r="E23" s="26" t="s">
        <v>86</v>
      </c>
      <c r="F23" s="26" t="s">
        <v>40</v>
      </c>
      <c r="G23" s="27" t="n">
        <v>1</v>
      </c>
      <c r="H23" s="28" t="n">
        <v>1</v>
      </c>
      <c r="I23" s="2"/>
      <c r="J23" s="2"/>
      <c r="K23" s="2"/>
      <c r="L23" s="2"/>
      <c r="M23" s="2"/>
      <c r="N23" s="6" t="n">
        <v>1</v>
      </c>
      <c r="O23" s="2"/>
    </row>
    <row collapsed="false" customFormat="false" customHeight="false" hidden="false" ht="12.1" outlineLevel="0" r="24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 t="s">
        <v>91</v>
      </c>
      <c r="M24" s="5" t="s">
        <f>=SUM(M2:M23)</f>
      </c>
      <c r="N24" s="5" t="s">
        <f>=SUM(N2:N23)</f>
      </c>
      <c r="O24" s="4"/>
    </row>
  </sheetData>
  <autoFilter ref="A1:O24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3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</cols>
  <sheetData>
    <row collapsed="false" customFormat="false" customHeight="false" hidden="false" ht="12.1" outlineLevel="0" r="1">
      <c r="A1" s="30" t="s">
        <v>51</v>
      </c>
      <c r="B1" s="30" t="s">
        <v>92</v>
      </c>
      <c r="C1" s="30" t="s">
        <v>0</v>
      </c>
      <c r="D1" s="30" t="s">
        <v>2</v>
      </c>
      <c r="E1" s="30" t="s">
        <v>6</v>
      </c>
      <c r="F1" s="30" t="s">
        <v>93</v>
      </c>
      <c r="G1" s="30" t="s">
        <v>94</v>
      </c>
      <c r="H1" s="30" t="s">
        <v>95</v>
      </c>
      <c r="I1" s="30" t="s">
        <v>96</v>
      </c>
      <c r="J1" s="30" t="s">
        <v>97</v>
      </c>
    </row>
    <row collapsed="false" customFormat="false" customHeight="false" hidden="false" ht="12.1" outlineLevel="0" r="2">
      <c r="A2" s="29" t="n">
        <v>45811</v>
      </c>
      <c r="B2" s="16" t="s">
        <v>98</v>
      </c>
      <c r="C2" s="16" t="s">
        <v>32</v>
      </c>
      <c r="D2" s="16" t="s">
        <v>34</v>
      </c>
      <c r="E2" s="6" t="n">
        <v>1000</v>
      </c>
      <c r="F2" s="7" t="n">
        <v>4</v>
      </c>
      <c r="G2" s="6" t="n">
        <v>35.4</v>
      </c>
      <c r="H2" s="6" t="n">
        <v>18</v>
      </c>
      <c r="I2" s="6" t="n">
        <v>141.6</v>
      </c>
      <c r="J2" s="6" t="n">
        <v>123.6</v>
      </c>
    </row>
    <row collapsed="false" customFormat="false" customHeight="false" hidden="false" ht="12.1" outlineLevel="0" r="3">
      <c r="A3" s="29" t="n">
        <v>45993</v>
      </c>
      <c r="B3" s="16" t="s">
        <v>98</v>
      </c>
      <c r="C3" s="16" t="s">
        <v>32</v>
      </c>
      <c r="D3" s="16" t="s">
        <v>34</v>
      </c>
      <c r="E3" s="6" t="n">
        <v>1000</v>
      </c>
      <c r="F3" s="7" t="n">
        <v>4</v>
      </c>
      <c r="G3" s="6" t="n">
        <v>35.4</v>
      </c>
      <c r="H3" s="6" t="n">
        <v>18</v>
      </c>
      <c r="I3" s="6" t="n">
        <v>141.6</v>
      </c>
      <c r="J3" s="6" t="n">
        <v>123.6</v>
      </c>
    </row>
    <row collapsed="false" customFormat="false" customHeight="false" hidden="false" ht="12.1" outlineLevel="0" r="4">
      <c r="A4" s="29" t="n">
        <v>46175</v>
      </c>
      <c r="B4" s="16" t="s">
        <v>98</v>
      </c>
      <c r="C4" s="16" t="s">
        <v>32</v>
      </c>
      <c r="D4" s="16" t="s">
        <v>34</v>
      </c>
      <c r="E4" s="6" t="n">
        <v>1000</v>
      </c>
      <c r="F4" s="7" t="n">
        <v>4</v>
      </c>
      <c r="G4" s="6" t="n">
        <v>35.4</v>
      </c>
      <c r="H4" s="6" t="n">
        <v>18</v>
      </c>
      <c r="I4" s="6" t="n">
        <v>141.6</v>
      </c>
      <c r="J4" s="6" t="n">
        <v>123.6</v>
      </c>
    </row>
    <row collapsed="false" customFormat="false" customHeight="false" hidden="false" ht="12.1" outlineLevel="0" r="5">
      <c r="A5" s="29"/>
      <c r="B5" s="16"/>
      <c r="C5" s="16"/>
      <c r="D5" s="16"/>
      <c r="E5" s="6"/>
      <c r="F5" s="7"/>
      <c r="G5" s="6"/>
      <c r="H5" s="6"/>
      <c r="I5" s="6"/>
      <c r="J5" s="6"/>
    </row>
    <row collapsed="false" customFormat="false" customHeight="false" hidden="false" ht="12.1" outlineLevel="0" r="6">
      <c r="A6" s="29" t="n">
        <v>46357</v>
      </c>
      <c r="B6" s="16" t="s">
        <v>98</v>
      </c>
      <c r="C6" s="16" t="s">
        <v>32</v>
      </c>
      <c r="D6" s="16" t="s">
        <v>34</v>
      </c>
      <c r="E6" s="6" t="n">
        <v>1000</v>
      </c>
      <c r="F6" s="7" t="n">
        <v>4</v>
      </c>
      <c r="G6" s="6" t="n">
        <v>35.4</v>
      </c>
      <c r="H6" s="6" t="n">
        <v>18</v>
      </c>
      <c r="I6" s="6" t="n">
        <v>141.6</v>
      </c>
      <c r="J6" s="6" t="n">
        <v>123.6</v>
      </c>
    </row>
    <row collapsed="false" customFormat="false" customHeight="false" hidden="false" ht="12.1" outlineLevel="0" r="7">
      <c r="A7" s="29" t="n">
        <v>46539</v>
      </c>
      <c r="B7" s="16" t="s">
        <v>98</v>
      </c>
      <c r="C7" s="16" t="s">
        <v>32</v>
      </c>
      <c r="D7" s="16" t="s">
        <v>34</v>
      </c>
      <c r="E7" s="6" t="n">
        <v>1000</v>
      </c>
      <c r="F7" s="7" t="n">
        <v>4</v>
      </c>
      <c r="G7" s="6" t="n">
        <v>35.4</v>
      </c>
      <c r="H7" s="6" t="n">
        <v>18</v>
      </c>
      <c r="I7" s="6" t="n">
        <v>141.6</v>
      </c>
      <c r="J7" s="6" t="n">
        <v>123.6</v>
      </c>
    </row>
    <row collapsed="false" customFormat="false" customHeight="false" hidden="false" ht="12.1" outlineLevel="0" r="8">
      <c r="A8" s="29" t="n">
        <v>46721</v>
      </c>
      <c r="B8" s="16" t="s">
        <v>98</v>
      </c>
      <c r="C8" s="16" t="s">
        <v>32</v>
      </c>
      <c r="D8" s="16" t="s">
        <v>34</v>
      </c>
      <c r="E8" s="6" t="n">
        <v>1000</v>
      </c>
      <c r="F8" s="7" t="n">
        <v>4</v>
      </c>
      <c r="G8" s="6" t="n">
        <v>35.4</v>
      </c>
      <c r="H8" s="6" t="n">
        <v>18</v>
      </c>
      <c r="I8" s="6" t="n">
        <v>141.6</v>
      </c>
      <c r="J8" s="6" t="n">
        <v>123.6</v>
      </c>
    </row>
    <row collapsed="false" customFormat="false" customHeight="false" hidden="false" ht="12.1" outlineLevel="0" r="9">
      <c r="A9" s="29" t="n">
        <v>46903</v>
      </c>
      <c r="B9" s="16" t="s">
        <v>98</v>
      </c>
      <c r="C9" s="16" t="s">
        <v>32</v>
      </c>
      <c r="D9" s="16" t="s">
        <v>34</v>
      </c>
      <c r="E9" s="6" t="n">
        <v>1000</v>
      </c>
      <c r="F9" s="7" t="n">
        <v>4</v>
      </c>
      <c r="G9" s="6" t="n">
        <v>35.4</v>
      </c>
      <c r="H9" s="6" t="n">
        <v>18</v>
      </c>
      <c r="I9" s="6" t="n">
        <v>141.6</v>
      </c>
      <c r="J9" s="6" t="n">
        <v>123.6</v>
      </c>
    </row>
    <row collapsed="false" customFormat="false" customHeight="false" hidden="false" ht="12.1" outlineLevel="0" r="10">
      <c r="A10" s="29" t="n">
        <v>47085</v>
      </c>
      <c r="B10" s="16" t="s">
        <v>98</v>
      </c>
      <c r="C10" s="16" t="s">
        <v>32</v>
      </c>
      <c r="D10" s="16" t="s">
        <v>34</v>
      </c>
      <c r="E10" s="6" t="n">
        <v>1000</v>
      </c>
      <c r="F10" s="7" t="n">
        <v>4</v>
      </c>
      <c r="G10" s="6" t="n">
        <v>35.4</v>
      </c>
      <c r="H10" s="6" t="n">
        <v>18</v>
      </c>
      <c r="I10" s="6" t="n">
        <v>141.6</v>
      </c>
      <c r="J10" s="6" t="n">
        <v>123.6</v>
      </c>
    </row>
    <row collapsed="false" customFormat="false" customHeight="false" hidden="false" ht="12.1" outlineLevel="0" r="11">
      <c r="A11" s="29" t="n">
        <v>47267</v>
      </c>
      <c r="B11" s="16" t="s">
        <v>98</v>
      </c>
      <c r="C11" s="16" t="s">
        <v>32</v>
      </c>
      <c r="D11" s="16" t="s">
        <v>34</v>
      </c>
      <c r="E11" s="6" t="n">
        <v>1000</v>
      </c>
      <c r="F11" s="7" t="n">
        <v>4</v>
      </c>
      <c r="G11" s="6" t="n">
        <v>35.4</v>
      </c>
      <c r="H11" s="6" t="n">
        <v>18</v>
      </c>
      <c r="I11" s="6" t="n">
        <v>141.6</v>
      </c>
      <c r="J11" s="6" t="n">
        <v>123.6</v>
      </c>
    </row>
    <row collapsed="false" customFormat="false" customHeight="false" hidden="false" ht="12.1" outlineLevel="0" r="12">
      <c r="A12" s="29" t="n">
        <v>47449</v>
      </c>
      <c r="B12" s="16" t="s">
        <v>98</v>
      </c>
      <c r="C12" s="16" t="s">
        <v>32</v>
      </c>
      <c r="D12" s="16" t="s">
        <v>34</v>
      </c>
      <c r="E12" s="6" t="n">
        <v>1000</v>
      </c>
      <c r="F12" s="7" t="n">
        <v>4</v>
      </c>
      <c r="G12" s="6" t="n">
        <v>35.4</v>
      </c>
      <c r="H12" s="6" t="n">
        <v>18</v>
      </c>
      <c r="I12" s="6" t="n">
        <v>141.6</v>
      </c>
      <c r="J12" s="6" t="n">
        <v>123.6</v>
      </c>
    </row>
    <row collapsed="false" customFormat="false" customHeight="false" hidden="false" ht="12.1" outlineLevel="0" r="13">
      <c r="A13" s="29" t="n">
        <v>47631</v>
      </c>
      <c r="B13" s="16" t="s">
        <v>98</v>
      </c>
      <c r="C13" s="16" t="s">
        <v>32</v>
      </c>
      <c r="D13" s="16" t="s">
        <v>34</v>
      </c>
      <c r="E13" s="6" t="n">
        <v>1000</v>
      </c>
      <c r="F13" s="7" t="n">
        <v>4</v>
      </c>
      <c r="G13" s="6" t="n">
        <v>35.4</v>
      </c>
      <c r="H13" s="6" t="n">
        <v>18</v>
      </c>
      <c r="I13" s="6" t="n">
        <v>141.6</v>
      </c>
      <c r="J13" s="6" t="n">
        <v>123.6</v>
      </c>
    </row>
    <row collapsed="false" customFormat="false" customHeight="false" hidden="false" ht="12.1" outlineLevel="0" r="14">
      <c r="A14" s="29" t="n">
        <v>47813</v>
      </c>
      <c r="B14" s="16" t="s">
        <v>98</v>
      </c>
      <c r="C14" s="16" t="s">
        <v>32</v>
      </c>
      <c r="D14" s="16" t="s">
        <v>34</v>
      </c>
      <c r="E14" s="6" t="n">
        <v>1000</v>
      </c>
      <c r="F14" s="7" t="n">
        <v>4</v>
      </c>
      <c r="G14" s="6" t="n">
        <v>35.4</v>
      </c>
      <c r="H14" s="6" t="n">
        <v>18</v>
      </c>
      <c r="I14" s="6" t="n">
        <v>141.6</v>
      </c>
      <c r="J14" s="6" t="n">
        <v>123.6</v>
      </c>
    </row>
    <row collapsed="false" customFormat="false" customHeight="false" hidden="false" ht="12.1" outlineLevel="0" r="15">
      <c r="A15" s="29" t="n">
        <v>47995</v>
      </c>
      <c r="B15" s="16" t="s">
        <v>98</v>
      </c>
      <c r="C15" s="16" t="s">
        <v>32</v>
      </c>
      <c r="D15" s="16" t="s">
        <v>34</v>
      </c>
      <c r="E15" s="6" t="n">
        <v>1000</v>
      </c>
      <c r="F15" s="7" t="n">
        <v>4</v>
      </c>
      <c r="G15" s="6" t="n">
        <v>35.4</v>
      </c>
      <c r="H15" s="6" t="n">
        <v>18</v>
      </c>
      <c r="I15" s="6" t="n">
        <v>141.6</v>
      </c>
      <c r="J15" s="6" t="n">
        <v>123.6</v>
      </c>
    </row>
    <row collapsed="false" customFormat="false" customHeight="false" hidden="false" ht="12.1" outlineLevel="0" r="16">
      <c r="A16" s="29" t="n">
        <v>48177</v>
      </c>
      <c r="B16" s="16" t="s">
        <v>98</v>
      </c>
      <c r="C16" s="16" t="s">
        <v>32</v>
      </c>
      <c r="D16" s="16" t="s">
        <v>34</v>
      </c>
      <c r="E16" s="6" t="n">
        <v>1000</v>
      </c>
      <c r="F16" s="7" t="n">
        <v>4</v>
      </c>
      <c r="G16" s="6" t="n">
        <v>35.4</v>
      </c>
      <c r="H16" s="6" t="n">
        <v>18</v>
      </c>
      <c r="I16" s="6" t="n">
        <v>141.6</v>
      </c>
      <c r="J16" s="6" t="n">
        <v>123.6</v>
      </c>
    </row>
    <row collapsed="false" customFormat="false" customHeight="false" hidden="false" ht="12.1" outlineLevel="0" r="17">
      <c r="A17" s="29" t="n">
        <v>48359</v>
      </c>
      <c r="B17" s="16" t="s">
        <v>98</v>
      </c>
      <c r="C17" s="16" t="s">
        <v>32</v>
      </c>
      <c r="D17" s="16" t="s">
        <v>34</v>
      </c>
      <c r="E17" s="6" t="n">
        <v>1000</v>
      </c>
      <c r="F17" s="7" t="n">
        <v>4</v>
      </c>
      <c r="G17" s="6" t="n">
        <v>35.4</v>
      </c>
      <c r="H17" s="6" t="n">
        <v>18</v>
      </c>
      <c r="I17" s="6" t="n">
        <v>141.6</v>
      </c>
      <c r="J17" s="6" t="n">
        <v>123.6</v>
      </c>
    </row>
    <row collapsed="false" customFormat="false" customHeight="false" hidden="false" ht="12.1" outlineLevel="0" r="18">
      <c r="A18" s="29" t="n">
        <v>48541</v>
      </c>
      <c r="B18" s="16" t="s">
        <v>98</v>
      </c>
      <c r="C18" s="16" t="s">
        <v>32</v>
      </c>
      <c r="D18" s="16" t="s">
        <v>34</v>
      </c>
      <c r="E18" s="6" t="n">
        <v>1000</v>
      </c>
      <c r="F18" s="7" t="n">
        <v>4</v>
      </c>
      <c r="G18" s="6" t="n">
        <v>35.4</v>
      </c>
      <c r="H18" s="6" t="n">
        <v>18</v>
      </c>
      <c r="I18" s="6" t="n">
        <v>141.6</v>
      </c>
      <c r="J18" s="6" t="n">
        <v>123.6</v>
      </c>
    </row>
    <row collapsed="false" customFormat="false" customHeight="false" hidden="false" ht="12.1" outlineLevel="0" r="19">
      <c r="A19" s="29" t="n">
        <v>48723</v>
      </c>
      <c r="B19" s="16" t="s">
        <v>98</v>
      </c>
      <c r="C19" s="16" t="s">
        <v>32</v>
      </c>
      <c r="D19" s="16" t="s">
        <v>34</v>
      </c>
      <c r="E19" s="6" t="n">
        <v>1000</v>
      </c>
      <c r="F19" s="7" t="n">
        <v>4</v>
      </c>
      <c r="G19" s="6" t="n">
        <v>35.4</v>
      </c>
      <c r="H19" s="6" t="n">
        <v>18</v>
      </c>
      <c r="I19" s="6" t="n">
        <v>141.6</v>
      </c>
      <c r="J19" s="6" t="n">
        <v>123.6</v>
      </c>
    </row>
    <row collapsed="false" customFormat="false" customHeight="false" hidden="false" ht="12.1" outlineLevel="0" r="20">
      <c r="A20" s="29" t="n">
        <v>48905</v>
      </c>
      <c r="B20" s="16" t="s">
        <v>98</v>
      </c>
      <c r="C20" s="16" t="s">
        <v>32</v>
      </c>
      <c r="D20" s="16" t="s">
        <v>34</v>
      </c>
      <c r="E20" s="6" t="n">
        <v>1000</v>
      </c>
      <c r="F20" s="7" t="n">
        <v>4</v>
      </c>
      <c r="G20" s="6" t="n">
        <v>35.4</v>
      </c>
      <c r="H20" s="6" t="n">
        <v>18</v>
      </c>
      <c r="I20" s="6" t="n">
        <v>141.6</v>
      </c>
      <c r="J20" s="6" t="n">
        <v>123.6</v>
      </c>
    </row>
    <row collapsed="false" customFormat="false" customHeight="false" hidden="false" ht="12.1" outlineLevel="0" r="21">
      <c r="A21" s="29" t="n">
        <v>49087</v>
      </c>
      <c r="B21" s="16" t="s">
        <v>98</v>
      </c>
      <c r="C21" s="16" t="s">
        <v>32</v>
      </c>
      <c r="D21" s="16" t="s">
        <v>34</v>
      </c>
      <c r="E21" s="6" t="n">
        <v>1000</v>
      </c>
      <c r="F21" s="7" t="n">
        <v>4</v>
      </c>
      <c r="G21" s="6" t="n">
        <v>35.4</v>
      </c>
      <c r="H21" s="6" t="n">
        <v>18</v>
      </c>
      <c r="I21" s="6" t="n">
        <v>141.6</v>
      </c>
      <c r="J21" s="6" t="n">
        <v>123.6</v>
      </c>
    </row>
    <row collapsed="false" customFormat="false" customHeight="false" hidden="false" ht="12.1" outlineLevel="0" r="22">
      <c r="A22" s="29" t="n">
        <v>49269</v>
      </c>
      <c r="B22" s="16" t="s">
        <v>98</v>
      </c>
      <c r="C22" s="16" t="s">
        <v>32</v>
      </c>
      <c r="D22" s="16" t="s">
        <v>34</v>
      </c>
      <c r="E22" s="6" t="n">
        <v>1000</v>
      </c>
      <c r="F22" s="7" t="n">
        <v>4</v>
      </c>
      <c r="G22" s="6" t="n">
        <v>35.4</v>
      </c>
      <c r="H22" s="6" t="n">
        <v>18</v>
      </c>
      <c r="I22" s="6" t="n">
        <v>141.6</v>
      </c>
      <c r="J22" s="6" t="n">
        <v>123.6</v>
      </c>
    </row>
    <row collapsed="false" customFormat="false" customHeight="false" hidden="false" ht="12.1" outlineLevel="0" r="23">
      <c r="A23" s="29" t="n">
        <v>49451</v>
      </c>
      <c r="B23" s="16" t="s">
        <v>98</v>
      </c>
      <c r="C23" s="16" t="s">
        <v>32</v>
      </c>
      <c r="D23" s="16" t="s">
        <v>34</v>
      </c>
      <c r="E23" s="6" t="n">
        <v>1000</v>
      </c>
      <c r="F23" s="7" t="n">
        <v>4</v>
      </c>
      <c r="G23" s="6" t="n">
        <v>35.4</v>
      </c>
      <c r="H23" s="6" t="n">
        <v>18</v>
      </c>
      <c r="I23" s="6" t="n">
        <v>141.6</v>
      </c>
      <c r="J23" s="6" t="n">
        <v>123.6</v>
      </c>
    </row>
    <row collapsed="false" customFormat="false" customHeight="false" hidden="false" ht="12.1" outlineLevel="0" r="24">
      <c r="A24" s="29" t="n">
        <v>49633</v>
      </c>
      <c r="B24" s="16" t="s">
        <v>98</v>
      </c>
      <c r="C24" s="16" t="s">
        <v>32</v>
      </c>
      <c r="D24" s="16" t="s">
        <v>34</v>
      </c>
      <c r="E24" s="6" t="n">
        <v>1000</v>
      </c>
      <c r="F24" s="7" t="n">
        <v>4</v>
      </c>
      <c r="G24" s="6" t="n">
        <v>35.4</v>
      </c>
      <c r="H24" s="6" t="n">
        <v>18</v>
      </c>
      <c r="I24" s="6" t="n">
        <v>141.6</v>
      </c>
      <c r="J24" s="6" t="n">
        <v>123.6</v>
      </c>
    </row>
    <row collapsed="false" customFormat="false" customHeight="false" hidden="false" ht="12.1" outlineLevel="0" r="25">
      <c r="A25" s="29" t="n">
        <v>49815</v>
      </c>
      <c r="B25" s="16" t="s">
        <v>98</v>
      </c>
      <c r="C25" s="16" t="s">
        <v>32</v>
      </c>
      <c r="D25" s="16" t="s">
        <v>34</v>
      </c>
      <c r="E25" s="6" t="n">
        <v>1000</v>
      </c>
      <c r="F25" s="7" t="n">
        <v>4</v>
      </c>
      <c r="G25" s="6" t="n">
        <v>35.4</v>
      </c>
      <c r="H25" s="6" t="n">
        <v>18</v>
      </c>
      <c r="I25" s="6" t="n">
        <v>141.6</v>
      </c>
      <c r="J25" s="6" t="n">
        <v>123.6</v>
      </c>
    </row>
    <row collapsed="false" customFormat="false" customHeight="false" hidden="false" ht="12.1" outlineLevel="0" r="26">
      <c r="A26" s="29" t="n">
        <v>49997</v>
      </c>
      <c r="B26" s="16" t="s">
        <v>98</v>
      </c>
      <c r="C26" s="16" t="s">
        <v>32</v>
      </c>
      <c r="D26" s="16" t="s">
        <v>34</v>
      </c>
      <c r="E26" s="6" t="n">
        <v>1000</v>
      </c>
      <c r="F26" s="7" t="n">
        <v>4</v>
      </c>
      <c r="G26" s="6" t="n">
        <v>35.4</v>
      </c>
      <c r="H26" s="6" t="n">
        <v>18</v>
      </c>
      <c r="I26" s="6" t="n">
        <v>141.6</v>
      </c>
      <c r="J26" s="6" t="n">
        <v>123.6</v>
      </c>
    </row>
    <row collapsed="false" customFormat="false" customHeight="false" hidden="false" ht="12.1" outlineLevel="0" r="27">
      <c r="A27" s="29" t="n">
        <v>50179</v>
      </c>
      <c r="B27" s="16" t="s">
        <v>98</v>
      </c>
      <c r="C27" s="16" t="s">
        <v>32</v>
      </c>
      <c r="D27" s="16" t="s">
        <v>34</v>
      </c>
      <c r="E27" s="6" t="n">
        <v>1000</v>
      </c>
      <c r="F27" s="7" t="n">
        <v>4</v>
      </c>
      <c r="G27" s="6" t="n">
        <v>35.4</v>
      </c>
      <c r="H27" s="6" t="n">
        <v>18</v>
      </c>
      <c r="I27" s="6" t="n">
        <v>141.6</v>
      </c>
      <c r="J27" s="6" t="n">
        <v>123.6</v>
      </c>
    </row>
    <row collapsed="false" customFormat="false" customHeight="false" hidden="false" ht="12.1" outlineLevel="0" r="28">
      <c r="A28" s="29" t="n">
        <v>50361</v>
      </c>
      <c r="B28" s="16" t="s">
        <v>98</v>
      </c>
      <c r="C28" s="16" t="s">
        <v>32</v>
      </c>
      <c r="D28" s="16" t="s">
        <v>34</v>
      </c>
      <c r="E28" s="6" t="n">
        <v>1000</v>
      </c>
      <c r="F28" s="7" t="n">
        <v>4</v>
      </c>
      <c r="G28" s="6" t="n">
        <v>35.4</v>
      </c>
      <c r="H28" s="6" t="n">
        <v>18</v>
      </c>
      <c r="I28" s="6" t="n">
        <v>141.6</v>
      </c>
      <c r="J28" s="6" t="n">
        <v>123.6</v>
      </c>
    </row>
    <row collapsed="false" customFormat="false" customHeight="false" hidden="false" ht="12.1" outlineLevel="0" r="29">
      <c r="A29" s="29" t="n">
        <v>50543</v>
      </c>
      <c r="B29" s="16" t="s">
        <v>98</v>
      </c>
      <c r="C29" s="16" t="s">
        <v>32</v>
      </c>
      <c r="D29" s="16" t="s">
        <v>34</v>
      </c>
      <c r="E29" s="6" t="n">
        <v>1000</v>
      </c>
      <c r="F29" s="7" t="n">
        <v>4</v>
      </c>
      <c r="G29" s="6" t="n">
        <v>35.4</v>
      </c>
      <c r="H29" s="6" t="n">
        <v>18</v>
      </c>
      <c r="I29" s="6" t="n">
        <v>141.6</v>
      </c>
      <c r="J29" s="6" t="n">
        <v>123.6</v>
      </c>
    </row>
    <row collapsed="false" customFormat="false" customHeight="false" hidden="false" ht="12.1" outlineLevel="0" r="30">
      <c r="A30" s="29" t="n">
        <v>50725</v>
      </c>
      <c r="B30" s="16" t="s">
        <v>98</v>
      </c>
      <c r="C30" s="16" t="s">
        <v>32</v>
      </c>
      <c r="D30" s="16" t="s">
        <v>34</v>
      </c>
      <c r="E30" s="6" t="n">
        <v>1000</v>
      </c>
      <c r="F30" s="7" t="n">
        <v>4</v>
      </c>
      <c r="G30" s="6" t="n">
        <v>35.4</v>
      </c>
      <c r="H30" s="6" t="n">
        <v>18</v>
      </c>
      <c r="I30" s="6" t="n">
        <v>141.6</v>
      </c>
      <c r="J30" s="6" t="n">
        <v>123.6</v>
      </c>
    </row>
    <row collapsed="false" customFormat="false" customHeight="false" hidden="false" ht="12.1" outlineLevel="0" r="31">
      <c r="A31" s="29" t="n">
        <v>50907</v>
      </c>
      <c r="B31" s="16" t="s">
        <v>98</v>
      </c>
      <c r="C31" s="16" t="s">
        <v>32</v>
      </c>
      <c r="D31" s="16" t="s">
        <v>34</v>
      </c>
      <c r="E31" s="6" t="n">
        <v>1000</v>
      </c>
      <c r="F31" s="7" t="n">
        <v>4</v>
      </c>
      <c r="G31" s="6" t="n">
        <v>35.4</v>
      </c>
      <c r="H31" s="6" t="n">
        <v>18</v>
      </c>
      <c r="I31" s="6" t="n">
        <v>141.6</v>
      </c>
      <c r="J31" s="6" t="n">
        <v>123.6</v>
      </c>
    </row>
    <row collapsed="false" customFormat="false" customHeight="false" hidden="false" ht="12.1" outlineLevel="0" r="32">
      <c r="A32" s="29" t="n">
        <v>51089</v>
      </c>
      <c r="B32" s="16" t="s">
        <v>98</v>
      </c>
      <c r="C32" s="16" t="s">
        <v>32</v>
      </c>
      <c r="D32" s="16" t="s">
        <v>34</v>
      </c>
      <c r="E32" s="6" t="n">
        <v>1000</v>
      </c>
      <c r="F32" s="7" t="n">
        <v>4</v>
      </c>
      <c r="G32" s="6" t="n">
        <v>35.4</v>
      </c>
      <c r="H32" s="6" t="n">
        <v>18</v>
      </c>
      <c r="I32" s="6" t="n">
        <v>141.6</v>
      </c>
      <c r="J32" s="6" t="n">
        <v>123.6</v>
      </c>
    </row>
    <row collapsed="false" customFormat="false" customHeight="false" hidden="false" ht="12.1" outlineLevel="0" r="33">
      <c r="A33" s="29" t="n">
        <v>51271</v>
      </c>
      <c r="B33" s="16" t="s">
        <v>98</v>
      </c>
      <c r="C33" s="16" t="s">
        <v>32</v>
      </c>
      <c r="D33" s="16" t="s">
        <v>34</v>
      </c>
      <c r="E33" s="6" t="n">
        <v>1000</v>
      </c>
      <c r="F33" s="7" t="n">
        <v>4</v>
      </c>
      <c r="G33" s="6" t="n">
        <v>35.4</v>
      </c>
      <c r="H33" s="6" t="n">
        <v>18</v>
      </c>
      <c r="I33" s="6" t="n">
        <v>141.6</v>
      </c>
      <c r="J33" s="6" t="n">
        <v>123.6</v>
      </c>
    </row>
    <row collapsed="false" customFormat="false" customHeight="false" hidden="false" ht="12.1" outlineLevel="0" r="34">
      <c r="A34" s="29" t="n">
        <v>51453</v>
      </c>
      <c r="B34" s="16" t="s">
        <v>98</v>
      </c>
      <c r="C34" s="16" t="s">
        <v>32</v>
      </c>
      <c r="D34" s="16" t="s">
        <v>34</v>
      </c>
      <c r="E34" s="6" t="n">
        <v>1000</v>
      </c>
      <c r="F34" s="7" t="n">
        <v>4</v>
      </c>
      <c r="G34" s="6" t="n">
        <v>35.4</v>
      </c>
      <c r="H34" s="6" t="n">
        <v>18</v>
      </c>
      <c r="I34" s="6" t="n">
        <v>141.6</v>
      </c>
      <c r="J34" s="6" t="n">
        <v>123.6</v>
      </c>
    </row>
    <row collapsed="false" customFormat="false" customHeight="false" hidden="false" ht="12.1" outlineLevel="0" r="35">
      <c r="A35" s="29" t="n">
        <v>51635</v>
      </c>
      <c r="B35" s="16" t="s">
        <v>98</v>
      </c>
      <c r="C35" s="16" t="s">
        <v>32</v>
      </c>
      <c r="D35" s="16" t="s">
        <v>34</v>
      </c>
      <c r="E35" s="6" t="n">
        <v>1000</v>
      </c>
      <c r="F35" s="7" t="n">
        <v>4</v>
      </c>
      <c r="G35" s="6" t="n">
        <v>35.4</v>
      </c>
      <c r="H35" s="6" t="n">
        <v>18</v>
      </c>
      <c r="I35" s="6" t="n">
        <v>141.6</v>
      </c>
      <c r="J35" s="6" t="n">
        <v>123.6</v>
      </c>
    </row>
  </sheetData>
  <autoFilter ref="A1:J3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1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5" customWidth="1"/>
    <col min="7" max="7" width="5" customWidth="1"/>
    <col min="8" max="8" width="5" customWidth="1"/>
    <col min="9" max="9" width="10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  <col min="15" max="15" width="15" customWidth="1"/>
  </cols>
  <sheetData>
    <row collapsed="false" customFormat="false" customHeight="false" hidden="false" ht="12.1" outlineLevel="0" r="1">
      <c r="A1" s="30" t="s">
        <v>51</v>
      </c>
      <c r="B1" s="30" t="s">
        <v>92</v>
      </c>
      <c r="C1" s="30" t="s">
        <v>0</v>
      </c>
      <c r="D1" s="30" t="s">
        <v>2</v>
      </c>
      <c r="E1" s="30" t="s">
        <v>93</v>
      </c>
      <c r="F1" s="30" t="s">
        <v>99</v>
      </c>
      <c r="G1" s="30" t="s">
        <v>100</v>
      </c>
      <c r="H1" s="30" t="s">
        <v>55</v>
      </c>
      <c r="I1" s="30" t="s">
        <v>101</v>
      </c>
      <c r="J1" s="30" t="s">
        <v>102</v>
      </c>
      <c r="K1" s="30" t="s">
        <v>103</v>
      </c>
      <c r="L1" s="30" t="s">
        <v>104</v>
      </c>
      <c r="M1" s="30" t="s">
        <v>105</v>
      </c>
      <c r="N1" s="30" t="s">
        <v>106</v>
      </c>
      <c r="O1" s="30" t="s">
        <v>107</v>
      </c>
    </row>
    <row collapsed="false" customFormat="false" customHeight="false" hidden="false" ht="12.1" outlineLevel="0" r="2">
      <c r="A2" s="31" t="n">
        <v>45652</v>
      </c>
      <c r="B2" s="16" t="s">
        <v>98</v>
      </c>
      <c r="C2" s="16" t="s">
        <v>16</v>
      </c>
      <c r="D2" s="16" t="s">
        <v>18</v>
      </c>
      <c r="E2" s="17" t="n">
        <v>21</v>
      </c>
      <c r="F2" s="7" t="s">
        <f>=DATEDIF(A2,$O$2,"y")</f>
      </c>
      <c r="G2" s="7" t="s">
        <f>=DATEDIF(A2,$O$2,"ym")</f>
      </c>
      <c r="H2" s="7" t="s">
        <f>=DATEDIF(A2,$O$2,"md")</f>
      </c>
      <c r="I2" s="7" t="n">
        <v>561</v>
      </c>
      <c r="J2" s="17" t="n">
        <v>1.55875</v>
      </c>
      <c r="K2" s="6" t="s">
        <f>=Портфель!F2*Портфель!$Q$13</f>
      </c>
      <c r="L2" s="6" t="s">
        <f>=E2*K2</f>
      </c>
      <c r="M2" s="6" t="s">
        <f>=(K2-J2)*E2</f>
      </c>
      <c r="N2" s="6" t="s">
        <f>=MAX(0,M2*0.13)</f>
      </c>
      <c r="O2" s="13" t="s">
        <f>=TODAY()</f>
      </c>
    </row>
    <row collapsed="false" customFormat="false" customHeight="false" hidden="false" ht="12.1" outlineLevel="0" r="3">
      <c r="A3" s="31" t="n">
        <v>45653</v>
      </c>
      <c r="B3" s="16" t="s">
        <v>98</v>
      </c>
      <c r="C3" s="16" t="s">
        <v>16</v>
      </c>
      <c r="D3" s="16" t="s">
        <v>18</v>
      </c>
      <c r="E3" s="17" t="n">
        <v>190</v>
      </c>
      <c r="F3" s="7" t="s">
        <f>=DATEDIF(A3,$O$2,"y")</f>
      </c>
      <c r="G3" s="7" t="s">
        <f>=DATEDIF(A3,$O$2,"ym")</f>
      </c>
      <c r="H3" s="7" t="s">
        <f>=DATEDIF(A3,$O$2,"md")</f>
      </c>
      <c r="I3" s="7" t="n">
        <v>560</v>
      </c>
      <c r="J3" s="17" t="n">
        <v>1.5595789473684</v>
      </c>
      <c r="K3" s="6" t="s">
        <f>=Портфель!F2*Портфель!$Q$13</f>
      </c>
      <c r="L3" s="6" t="s">
        <f>=E3*K3</f>
      </c>
      <c r="M3" s="6" t="s">
        <f>=(K3-J3)*E3</f>
      </c>
      <c r="N3" s="6" t="s">
        <f>=MAX(0,M3*0.13)</f>
      </c>
    </row>
    <row collapsed="false" customFormat="false" customHeight="false" hidden="false" ht="12.1" outlineLevel="0" r="4">
      <c r="A4" s="31" t="n">
        <v>45655</v>
      </c>
      <c r="B4" s="16" t="s">
        <v>98</v>
      </c>
      <c r="C4" s="16" t="s">
        <v>16</v>
      </c>
      <c r="D4" s="16" t="s">
        <v>18</v>
      </c>
      <c r="E4" s="17" t="n">
        <v>863</v>
      </c>
      <c r="F4" s="7" t="s">
        <f>=DATEDIF(A4,$O$2,"y")</f>
      </c>
      <c r="G4" s="7" t="s">
        <f>=DATEDIF(A4,$O$2,"ym")</f>
      </c>
      <c r="H4" s="7" t="s">
        <f>=DATEDIF(A4,$O$2,"md")</f>
      </c>
      <c r="I4" s="7" t="n">
        <v>559</v>
      </c>
      <c r="J4" s="17" t="n">
        <v>1.5612977983778</v>
      </c>
      <c r="K4" s="6" t="s">
        <f>=Портфель!F2*Портфель!$Q$13</f>
      </c>
      <c r="L4" s="6" t="s">
        <f>=E4*K4</f>
      </c>
      <c r="M4" s="6" t="s">
        <f>=(K4-J4)*E4</f>
      </c>
      <c r="N4" s="6" t="s">
        <f>=MAX(0,M4*0.13)</f>
      </c>
    </row>
    <row collapsed="false" customFormat="false" customHeight="false" hidden="false" ht="12.1" outlineLevel="0" r="5">
      <c r="A5" s="31" t="n">
        <v>45677</v>
      </c>
      <c r="B5" s="16" t="s">
        <v>98</v>
      </c>
      <c r="C5" s="16" t="s">
        <v>16</v>
      </c>
      <c r="D5" s="16" t="s">
        <v>18</v>
      </c>
      <c r="E5" s="17" t="n">
        <v>66</v>
      </c>
      <c r="F5" s="7" t="s">
        <f>=DATEDIF(A5,$O$2,"y")</f>
      </c>
      <c r="G5" s="7" t="s">
        <f>=DATEDIF(A5,$O$2,"ym")</f>
      </c>
      <c r="H5" s="7" t="s">
        <f>=DATEDIF(A5,$O$2,"md")</f>
      </c>
      <c r="I5" s="7" t="n">
        <v>537</v>
      </c>
      <c r="J5" s="17" t="n">
        <v>1.5804545454545</v>
      </c>
      <c r="K5" s="6" t="s">
        <f>=Портфель!F2*Портфель!$Q$13</f>
      </c>
      <c r="L5" s="6" t="s">
        <f>=E5*K5</f>
      </c>
      <c r="M5" s="6" t="s">
        <f>=(K5-J5)*E5</f>
      </c>
      <c r="N5" s="6" t="s">
        <f>=MAX(0,M5*0.13)</f>
      </c>
    </row>
    <row collapsed="false" customFormat="false" customHeight="false" hidden="false" ht="12.1" outlineLevel="0" r="6">
      <c r="A6" s="31" t="n">
        <v>45660</v>
      </c>
      <c r="B6" s="16" t="s">
        <v>98</v>
      </c>
      <c r="C6" s="16" t="s">
        <v>21</v>
      </c>
      <c r="D6" s="16" t="s">
        <v>22</v>
      </c>
      <c r="E6" s="17" t="n">
        <v>1</v>
      </c>
      <c r="F6" s="7" t="s">
        <f>=DATEDIF(A6,$O$2,"y")</f>
      </c>
      <c r="G6" s="7" t="s">
        <f>=DATEDIF(A6,$O$2,"ym")</f>
      </c>
      <c r="H6" s="7" t="s">
        <f>=DATEDIF(A6,$O$2,"md")</f>
      </c>
      <c r="I6" s="7" t="n">
        <v>553</v>
      </c>
      <c r="J6" s="17" t="n">
        <v>135.89</v>
      </c>
      <c r="K6" s="6" t="s">
        <f>=Портфель!F3*Портфель!$Q$13</f>
      </c>
      <c r="L6" s="6" t="s">
        <f>=E6*K6</f>
      </c>
      <c r="M6" s="6" t="s">
        <f>=(K6-J6)*E6</f>
      </c>
      <c r="N6" s="6" t="s">
        <f>=MAX(0,M6*0.13)</f>
      </c>
    </row>
    <row collapsed="false" customFormat="false" customHeight="false" hidden="false" ht="12.1" outlineLevel="0" r="7">
      <c r="A7" s="31" t="n">
        <v>45677</v>
      </c>
      <c r="B7" s="16" t="s">
        <v>98</v>
      </c>
      <c r="C7" s="16" t="s">
        <v>21</v>
      </c>
      <c r="D7" s="16" t="s">
        <v>22</v>
      </c>
      <c r="E7" s="17" t="n">
        <v>1</v>
      </c>
      <c r="F7" s="7" t="s">
        <f>=DATEDIF(A7,$O$2,"y")</f>
      </c>
      <c r="G7" s="7" t="s">
        <f>=DATEDIF(A7,$O$2,"ym")</f>
      </c>
      <c r="H7" s="7" t="s">
        <f>=DATEDIF(A7,$O$2,"md")</f>
      </c>
      <c r="I7" s="7" t="n">
        <v>537</v>
      </c>
      <c r="J7" s="17" t="n">
        <v>143.2</v>
      </c>
      <c r="K7" s="6" t="s">
        <f>=Портфель!F3*Портфель!$Q$13</f>
      </c>
      <c r="L7" s="6" t="s">
        <f>=E7*K7</f>
      </c>
      <c r="M7" s="6" t="s">
        <f>=(K7-J7)*E7</f>
      </c>
      <c r="N7" s="6" t="s">
        <f>=MAX(0,M7*0.13)</f>
      </c>
    </row>
    <row collapsed="false" customFormat="false" customHeight="false" hidden="false" ht="12.1" outlineLevel="0" r="8">
      <c r="A8" s="31" t="n">
        <v>45677</v>
      </c>
      <c r="B8" s="16" t="s">
        <v>98</v>
      </c>
      <c r="C8" s="16" t="s">
        <v>21</v>
      </c>
      <c r="D8" s="16" t="s">
        <v>22</v>
      </c>
      <c r="E8" s="17" t="n">
        <v>1</v>
      </c>
      <c r="F8" s="7" t="s">
        <f>=DATEDIF(A8,$O$2,"y")</f>
      </c>
      <c r="G8" s="7" t="s">
        <f>=DATEDIF(A8,$O$2,"ym")</f>
      </c>
      <c r="H8" s="7" t="s">
        <f>=DATEDIF(A8,$O$2,"md")</f>
      </c>
      <c r="I8" s="7" t="n">
        <v>537</v>
      </c>
      <c r="J8" s="17" t="n">
        <v>143.2</v>
      </c>
      <c r="K8" s="6" t="s">
        <f>=Портфель!F3*Портфель!$Q$13</f>
      </c>
      <c r="L8" s="6" t="s">
        <f>=E8*K8</f>
      </c>
      <c r="M8" s="6" t="s">
        <f>=(K8-J8)*E8</f>
      </c>
      <c r="N8" s="6" t="s">
        <f>=MAX(0,M8*0.13)</f>
      </c>
    </row>
    <row collapsed="false" customFormat="false" customHeight="false" hidden="false" ht="12.1" outlineLevel="0" r="9">
      <c r="A9" s="31" t="n">
        <v>45677</v>
      </c>
      <c r="B9" s="16" t="s">
        <v>98</v>
      </c>
      <c r="C9" s="16" t="s">
        <v>21</v>
      </c>
      <c r="D9" s="16" t="s">
        <v>22</v>
      </c>
      <c r="E9" s="17" t="n">
        <v>17</v>
      </c>
      <c r="F9" s="7" t="s">
        <f>=DATEDIF(A9,$O$2,"y")</f>
      </c>
      <c r="G9" s="7" t="s">
        <f>=DATEDIF(A9,$O$2,"ym")</f>
      </c>
      <c r="H9" s="7" t="s">
        <f>=DATEDIF(A9,$O$2,"md")</f>
      </c>
      <c r="I9" s="7" t="n">
        <v>537</v>
      </c>
      <c r="J9" s="17" t="n">
        <v>143.2</v>
      </c>
      <c r="K9" s="6" t="s">
        <f>=Портфель!F3*Портфель!$Q$13</f>
      </c>
      <c r="L9" s="6" t="s">
        <f>=E9*K9</f>
      </c>
      <c r="M9" s="6" t="s">
        <f>=(K9-J9)*E9</f>
      </c>
      <c r="N9" s="6" t="s">
        <f>=MAX(0,M9*0.13)</f>
      </c>
    </row>
    <row collapsed="false" customFormat="false" customHeight="false" hidden="false" ht="12.1" outlineLevel="0" r="10">
      <c r="A10" s="31" t="n">
        <v>45660</v>
      </c>
      <c r="B10" s="16" t="s">
        <v>98</v>
      </c>
      <c r="C10" s="16" t="s">
        <v>24</v>
      </c>
      <c r="D10" s="16" t="s">
        <v>25</v>
      </c>
      <c r="E10" s="17" t="n">
        <v>1</v>
      </c>
      <c r="F10" s="7" t="s">
        <f>=DATEDIF(A10,$O$2,"y")</f>
      </c>
      <c r="G10" s="7" t="s">
        <f>=DATEDIF(A10,$O$2,"ym")</f>
      </c>
      <c r="H10" s="7" t="s">
        <f>=DATEDIF(A10,$O$2,"md")</f>
      </c>
      <c r="I10" s="7" t="n">
        <v>553</v>
      </c>
      <c r="J10" s="17" t="n">
        <v>1026.32</v>
      </c>
      <c r="K10" s="6" t="s">
        <f>=Портфель!F4*Портфель!$Q$13</f>
      </c>
      <c r="L10" s="6" t="s">
        <f>=E10*K10</f>
      </c>
      <c r="M10" s="6" t="s">
        <f>=(K10-J10)*E10</f>
      </c>
      <c r="N10" s="6" t="s">
        <f>=MAX(0,M10*0.13)</f>
      </c>
    </row>
    <row collapsed="false" customFormat="false" customHeight="false" hidden="false" ht="12.1" outlineLevel="0" r="11">
      <c r="A11" s="31" t="n">
        <v>45660</v>
      </c>
      <c r="B11" s="16" t="s">
        <v>98</v>
      </c>
      <c r="C11" s="16" t="s">
        <v>27</v>
      </c>
      <c r="D11" s="16" t="s">
        <v>28</v>
      </c>
      <c r="E11" s="17" t="n">
        <v>10</v>
      </c>
      <c r="F11" s="7" t="s">
        <f>=DATEDIF(A11,$O$2,"y")</f>
      </c>
      <c r="G11" s="7" t="s">
        <f>=DATEDIF(A11,$O$2,"ym")</f>
      </c>
      <c r="H11" s="7" t="s">
        <f>=DATEDIF(A11,$O$2,"md")</f>
      </c>
      <c r="I11" s="7" t="n">
        <v>553</v>
      </c>
      <c r="J11" s="17" t="n">
        <v>10.162</v>
      </c>
      <c r="K11" s="6" t="s">
        <f>=Портфель!F5*Портфель!$Q$13</f>
      </c>
      <c r="L11" s="6" t="s">
        <f>=E11*K11</f>
      </c>
      <c r="M11" s="6" t="s">
        <f>=(K11-J11)*E11</f>
      </c>
      <c r="N11" s="6" t="s">
        <f>=MAX(0,M11*0.13)</f>
      </c>
    </row>
    <row collapsed="false" customFormat="false" customHeight="false" hidden="false" ht="12.1" outlineLevel="0" r="12">
      <c r="A12" s="31" t="n">
        <v>45677</v>
      </c>
      <c r="B12" s="16" t="s">
        <v>98</v>
      </c>
      <c r="C12" s="16" t="s">
        <v>32</v>
      </c>
      <c r="D12" s="16" t="s">
        <v>34</v>
      </c>
      <c r="E12" s="17" t="n">
        <v>2</v>
      </c>
      <c r="F12" s="7" t="s">
        <f>=DATEDIF(A12,$O$2,"y")</f>
      </c>
      <c r="G12" s="7" t="s">
        <f>=DATEDIF(A12,$O$2,"ym")</f>
      </c>
      <c r="H12" s="7" t="s">
        <f>=DATEDIF(A12,$O$2,"md")</f>
      </c>
      <c r="I12" s="7" t="n">
        <v>537</v>
      </c>
      <c r="J12" s="17" t="n">
        <v>543.27</v>
      </c>
      <c r="K12" s="6" t="s">
        <f>=Портфель!F7*Портфель!G7/100*Портфель!$Q$13+Портфель!H7*Портфель!$Q$13</f>
      </c>
      <c r="L12" s="6" t="s">
        <f>=E12*K12</f>
      </c>
      <c r="M12" s="6" t="s">
        <f>=(K12-J12)*E12</f>
      </c>
      <c r="N12" s="6" t="s">
        <f>=MAX(0,M12*0.13)</f>
      </c>
    </row>
    <row collapsed="false" customFormat="false" customHeight="false" hidden="false" ht="12.1" outlineLevel="0" r="13">
      <c r="A13" s="31" t="n">
        <v>45677</v>
      </c>
      <c r="B13" s="16" t="s">
        <v>98</v>
      </c>
      <c r="C13" s="16" t="s">
        <v>32</v>
      </c>
      <c r="D13" s="16" t="s">
        <v>34</v>
      </c>
      <c r="E13" s="17" t="n">
        <v>2</v>
      </c>
      <c r="F13" s="7" t="s">
        <f>=DATEDIF(A13,$O$2,"y")</f>
      </c>
      <c r="G13" s="7" t="s">
        <f>=DATEDIF(A13,$O$2,"ym")</f>
      </c>
      <c r="H13" s="7" t="s">
        <f>=DATEDIF(A13,$O$2,"md")</f>
      </c>
      <c r="I13" s="7" t="n">
        <v>537</v>
      </c>
      <c r="J13" s="17" t="n">
        <v>543.27</v>
      </c>
      <c r="K13" s="6" t="s">
        <f>=Портфель!F7*Портфель!G7/100*Портфель!$Q$13+Портфель!H7*Портфель!$Q$13</f>
      </c>
      <c r="L13" s="6" t="s">
        <f>=E13*K13</f>
      </c>
      <c r="M13" s="6" t="s">
        <f>=(K13-J13)*E13</f>
      </c>
      <c r="N13" s="6" t="s">
        <f>=MAX(0,M13*0.13)</f>
      </c>
    </row>
    <row collapsed="false" customFormat="false" customHeight="false" hidden="false" ht="12.1" outlineLevel="0" r="14">
      <c r="A14" s="31"/>
      <c r="B14" s="16"/>
      <c r="C14" s="16"/>
      <c r="D14" s="16"/>
      <c r="E14" s="17"/>
      <c r="F14" s="7"/>
      <c r="G14" s="17"/>
      <c r="H14" s="16"/>
      <c r="I14" s="7"/>
      <c r="J14" s="17"/>
      <c r="K14" s="4" t="s">
        <v>45</v>
      </c>
      <c r="L14" s="8" t="s">
        <f>=SUBTOTAL(109,L2:L13)</f>
      </c>
      <c r="M14" s="8" t="s">
        <f>=SUBTOTAL(109,M2:M13)</f>
      </c>
      <c r="N14" s="8" t="s">
        <f>=MAX(0,M14*0.13)</f>
      </c>
    </row>
  </sheetData>
  <autoFilter ref="A1:O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25" customWidth="1"/>
    <col min="3" max="3" width="1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5" customWidth="1"/>
  </cols>
  <sheetData>
    <row collapsed="false" customFormat="false" customHeight="false" hidden="false" ht="12.1" outlineLevel="0" r="1">
      <c r="A1" s="30" t="s">
        <v>0</v>
      </c>
      <c r="B1" s="30" t="s">
        <v>2</v>
      </c>
      <c r="C1" s="30" t="s">
        <v>108</v>
      </c>
      <c r="D1" s="30" t="s">
        <v>109</v>
      </c>
      <c r="E1" s="30" t="s">
        <v>110</v>
      </c>
      <c r="F1" s="30" t="s">
        <v>111</v>
      </c>
      <c r="G1" s="30" t="s">
        <v>93</v>
      </c>
      <c r="H1" s="30" t="s">
        <v>112</v>
      </c>
      <c r="I1" s="30" t="s">
        <v>113</v>
      </c>
      <c r="J1" s="30" t="s">
        <v>114</v>
      </c>
      <c r="K1" s="30" t="s">
        <v>115</v>
      </c>
    </row>
    <row collapsed="false" customFormat="false" customHeight="false" hidden="false" ht="12.1" outlineLevel="0" r="2">
      <c r="A2" s="16" t="s">
        <v>16</v>
      </c>
      <c r="B2" s="16" t="s">
        <v>18</v>
      </c>
      <c r="C2" s="32" t="n">
        <v>45652</v>
      </c>
      <c r="D2" s="33" t="n">
        <v>45660</v>
      </c>
      <c r="E2" s="17" t="n">
        <v>1.5588</v>
      </c>
      <c r="F2" s="17" t="n">
        <v>1.5673</v>
      </c>
      <c r="G2" s="17" t="n">
        <v>11</v>
      </c>
      <c r="H2" s="6" t="s">
        <f>=(F2-E2)*G2</f>
      </c>
      <c r="I2" s="9" t="s">
        <f>=(F2-E2)/E2</f>
      </c>
      <c r="J2" s="7" t="s">
        <f>=MAX(1,DATEDIF(C2,D2,"d")-1)</f>
      </c>
      <c r="K2" s="9" t="s">
        <f>=I2*365/J2</f>
      </c>
    </row>
  </sheetData>
  <autoFilter ref="A1:K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2026-07-10T17:07:32.00Z</dcterms:created>
  <dc:creator>izi-invest.ru</dc:creator>
  <cp:revision>0</cp:revision>
</cp:coreProperties>
</file>