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Дивиденды" sheetId="6" state="visible" r:id="rId7"/>
    <sheet name="Купоны" sheetId="7" state="visible" r:id="rId8"/>
    <sheet name="Возраст" sheetId="8" state="visible" r:id="rId9"/>
    <sheet name="FIFO" sheetId="9" state="visible" r:id="rId10"/>
  </sheets>
  <calcPr iterateCount="100" refMode="A1" iterate="false" iterateDelta="0.001"/>
</workbook>
</file>

<file path=xl/sharedStrings.xml><?xml version="1.0" encoding="utf-8"?>
<sst xmlns="http://schemas.openxmlformats.org/spreadsheetml/2006/main" count="441" uniqueCount="143">
  <si>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</si>
  <si>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</si>
  <si>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</si>
  <si>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</si>
  <si>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</si>
  <si>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</si>
  <si>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</si>
  <si>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</si>
  <si>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</si>
  <si>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</si>
  <si>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</si>
  <si>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</si>
  <si>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</si>
  <si>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</si>
  <si>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</si>
  <si>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</si>
  <si>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YDEX</t>
  </si>
  <si>
    <t>share</t>
  </si>
  <si>
    <t>ЯНДЕКС</t>
  </si>
  <si>
    <t>RUR</t>
  </si>
  <si>
    <t>AMD</t>
  </si>
  <si>
    <t>X5</t>
  </si>
  <si>
    <t>КЦ ИКС 5</t>
  </si>
  <si>
    <t>BYN</t>
  </si>
  <si>
    <t>NVTK</t>
  </si>
  <si>
    <t>Новатэк ао</t>
  </si>
  <si>
    <t>CAD</t>
  </si>
  <si>
    <t>NMTP</t>
  </si>
  <si>
    <t>НМТП ао</t>
  </si>
  <si>
    <t>CHF</t>
  </si>
  <si>
    <t>Сумма по акциям:</t>
  </si>
  <si>
    <t>CNY</t>
  </si>
  <si>
    <t>SBMM</t>
  </si>
  <si>
    <t>etf</t>
  </si>
  <si>
    <t>SBMM ETF</t>
  </si>
  <si>
    <t>EUR</t>
  </si>
  <si>
    <t>Сумма по фондам:</t>
  </si>
  <si>
    <t>GBP</t>
  </si>
  <si>
    <t>RU000A10BF48</t>
  </si>
  <si>
    <t>bond</t>
  </si>
  <si>
    <t>ЯНДЕКС1Р1</t>
  </si>
  <si>
    <t>2027-04-11</t>
  </si>
  <si>
    <t>GLD</t>
  </si>
  <si>
    <t>Сумма по облигациям:</t>
  </si>
  <si>
    <t>HKD</t>
  </si>
  <si>
    <t>Рубль</t>
  </si>
  <si>
    <t>JPY</t>
  </si>
  <si>
    <t>Сумма по валютам:</t>
  </si>
  <si>
    <t>KZT</t>
  </si>
  <si>
    <t>Сумма: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</si>
  <si>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</si>
  <si>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</si>
  <si>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</si>
  <si>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</si>
  <si>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</si>
  <si>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</si>
  <si>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</si>
  <si>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</si>
  <si>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</si>
  <si>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</si>
  <si>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</si>
  <si>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Зачисление денежных средств</t>
  </si>
  <si>
    <t>Дивиденд по NVTK - Новатэк ао 1шт. по 46.65 RUR - налог 6 RUR (данные из БД)</t>
  </si>
  <si>
    <t>Дивиденд по YDEX - ЯНДЕКС 1шт. по 80 RUR - налог 10 RUR (данные из БД)</t>
  </si>
  <si>
    <t>Дивиденды ЯНДЕКС; ISIN RU000A107T19; Дата Фиксации 28/04/2025; Кол-во 1; Ставка Выплаты 80; Курс конвертации 1.0000; Налог удерж (данные из сделок)</t>
  </si>
  <si>
    <t>Купон по RU000A10BF48 - ЯНДЕКС1Р1 1шт. по 18.66 RUR - налог 2 RUR (данные из БД)</t>
  </si>
  <si>
    <t>Купон по RU000A10BF48 - ЯНДЕКС1Р1 1шт. по 18.47 RUR - налог 2 RUR (данные из БД)</t>
  </si>
  <si>
    <t>Дивиденд по X5 - КЦ ИКС 5 1шт. по 648 RUR - налог 84 RUR (данные из БД)</t>
  </si>
  <si>
    <t>Дивиденд по NMTP - НМТП ао 100шт. по 0.96 RUR - налог 12 RUR (данные из БД)</t>
  </si>
  <si>
    <t>Купон по RU000A10BF48 - ЯНДЕКС1Р1 1шт. по 17.84 RUR - налог 2 RUR (данные из БД)</t>
  </si>
  <si>
    <t>Купон по RU000A10BF48 - ЯНДЕКС1Р1 1шт. по 16.85 RUR - налог 2 RUR (данные из БД)</t>
  </si>
  <si>
    <t>Купон по RU000A10BF48 - ЯНДЕКС1Р1 1шт. по 16.19 RUR - налог 2 RUR (данные из БД)</t>
  </si>
  <si>
    <t>Дивиденд по NVTK - Новатэк ао 1шт. по 35.5 RUR - налог 5 RUR (данные из БД)</t>
  </si>
  <si>
    <t>Купон по RU000A10BF48 - ЯНДЕКС1Р1 1шт. по 15.4 RUR - налог 2 RUR (данные из БД)</t>
  </si>
  <si>
    <t>Купон по RU000A10BF48 - ЯНДЕКС1Р1 1шт. по 15.14 RUR - налог 2 RUR (данные из БД)</t>
  </si>
  <si>
    <t>Купон по RU000A10BF48 - ЯНДЕКС1Р1 1шт. по 14.96 RUR - налог 2 RUR (данные из БД)</t>
  </si>
  <si>
    <t>Дивиденд по X5 - КЦ ИКС 5 1шт. по 368 RUR - налог 48 RUR (данные из БД)</t>
  </si>
  <si>
    <t>Купон по RU000A10BF48 - ЯНДЕКС1Р1 1шт. по 14.67 RUR - налог 2 RUR (данные из БД)</t>
  </si>
  <si>
    <t>Купон по RU000A10BF48 - ЯНДЕКС1Р1 1шт. по 14.55 RUR - налог 2 RUR (данные из БД)</t>
  </si>
  <si>
    <t>Купон по RU000A10BF48 - ЯНДЕКС1Р1 1шт. по 14.21 RUR - налог 2 RUR (данные из БД)</t>
  </si>
  <si>
    <t>Дивиденд по NVTK - Новатэк ао 1шт. по 47.23 RUR - налог 6 RUR (данные из БД)</t>
  </si>
  <si>
    <t>Купон по RU000A10BF48 - ЯНДЕКС1Р1 1шт. по 13.86 RUR - налог 2 RUR (данные из БД)</t>
  </si>
  <si>
    <t>Дивиденд по YDEX - ЯНДЕКС 1шт. по 110 RUR - налог 14 RUR (данные из БД)</t>
  </si>
  <si>
    <t>Купон по RU000A10BF48 - ЯНДЕКС1Р1 1шт. по 13.52 RUR - налог 2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</si>
  <si>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</si>
  <si>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</si>
  <si>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</si>
  <si>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</si>
  <si>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</si>
  <si>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</si>
  <si>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</si>
  <si>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</si>
  <si>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YDEX
ЯНДЕКС</t>
  </si>
  <si>
    <t>X5
КЦ ИКС 5</t>
  </si>
  <si>
    <t>NVTK
Новатэк ао</t>
  </si>
  <si>
    <t>NMTP
НМТП ао</t>
  </si>
  <si>
    <t>SBMM
SBMM ETF</t>
  </si>
  <si>
    <t>RU000A10BF48
ЯНДЕКС1Р1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</si>
  <si>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</si>
  <si>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</si>
  <si>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</si>
  <si>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</si>
  <si>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</si>
  <si>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</si>
  <si>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</si>
  <si>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</si>
  <si>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БПИФ Первая Сберегательный</t>
  </si>
  <si>
    <t>МКПАО ЯНДЕКС</t>
  </si>
  <si>
    <t>Корпоративный центр ИКС 5</t>
  </si>
  <si>
    <t>МКПАО ЯНДЕКС 001Р-01</t>
  </si>
  <si>
    <t>НМТП (ПАО) ао</t>
  </si>
  <si>
    <t>ПАО "НОВАТЭК" ао</t>
  </si>
  <si>
    <t>dohod</t>
  </si>
  <si>
    <t>Дивиденды ЯНДЕКС; ISIN RU000A107T19; Дата Фиксации 28/04/2025; Кол-во 1; Ставка Выплаты 80; Курс конвертации 1.0000; Налог удерж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</si>
  <si>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</si>
  <si>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</si>
  <si>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</si>
  <si>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</si>
  <si>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</si>
  <si>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</si>
  <si>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</si>
  <si>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</si>
  <si>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</si>
  <si>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</si>
  <si>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</si>
  <si>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Капитал</t>
  </si>
  <si>
    <t>Купон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</si>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</sst>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1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</v>
      </c>
      <c r="F2" s="6" t="n">
        <v>4006.5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0.0214</v>
      </c>
      <c r="L2" s="6" t="n">
        <v>4146.64</v>
      </c>
      <c r="M2" s="17" t="n">
        <v>30.26</v>
      </c>
      <c r="N2" s="16"/>
      <c r="O2" s="16" t="s">
        <v>20</v>
      </c>
      <c r="P2" s="17" t="n">
        <v>0.1985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1</v>
      </c>
      <c r="F3" s="6" t="n">
        <v>2447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-0.0158</v>
      </c>
      <c r="L3" s="6" t="n">
        <v>3379.61</v>
      </c>
      <c r="M3" s="17" t="n">
        <v>18.48</v>
      </c>
      <c r="N3" s="16"/>
      <c r="O3" s="16" t="s">
        <v>23</v>
      </c>
      <c r="P3" s="17" t="n">
        <v>25.9225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1</v>
      </c>
      <c r="F4" s="6" t="n">
        <v>1063.6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-0.0914</v>
      </c>
      <c r="L4" s="6" t="n">
        <v>1297.86</v>
      </c>
      <c r="M4" s="17" t="n">
        <v>8.03</v>
      </c>
      <c r="N4" s="16"/>
      <c r="O4" s="16" t="s">
        <v>26</v>
      </c>
      <c r="P4" s="17" t="n">
        <v>51.822396059684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100</v>
      </c>
      <c r="F5" s="6" t="n">
        <v>8.78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0.0163</v>
      </c>
      <c r="L5" s="6" t="n">
        <v>9.46</v>
      </c>
      <c r="M5" s="17" t="n">
        <v>6.63</v>
      </c>
      <c r="N5" s="16"/>
      <c r="O5" s="16" t="s">
        <v>29</v>
      </c>
      <c r="P5" s="17" t="n">
        <v>91.0139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4"/>
      <c r="H6" s="4" t="s">
        <v>30</v>
      </c>
      <c r="I6" s="4"/>
      <c r="J6" s="5" t="s">
        <f>=SUM(J2:J5)</f>
      </c>
      <c r="K6" s="4"/>
      <c r="L6" s="4"/>
      <c r="M6" s="10" t="s">
        <f>=J6/J13</f>
      </c>
      <c r="N6" s="16"/>
      <c r="O6" s="16" t="s">
        <v>31</v>
      </c>
      <c r="P6" s="17" t="n">
        <v>10.5317</v>
      </c>
      <c r="Q6" s="6" t="s">
        <f>=P6/$P$13</f>
      </c>
    </row>
    <row collapsed="false" customFormat="false" customHeight="false" hidden="false" ht="12.1" outlineLevel="0" r="7">
      <c r="A7" s="16" t="s">
        <v>32</v>
      </c>
      <c r="B7" s="16" t="s">
        <v>33</v>
      </c>
      <c r="C7" s="16" t="s">
        <v>34</v>
      </c>
      <c r="D7" s="16" t="s">
        <v>19</v>
      </c>
      <c r="E7" s="7" t="n">
        <v>195</v>
      </c>
      <c r="F7" s="6" t="n">
        <v>18.5865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0.1855</v>
      </c>
      <c r="L7" s="6" t="n">
        <v>15.34</v>
      </c>
      <c r="M7" s="17" t="n">
        <v>27.37</v>
      </c>
      <c r="N7" s="16"/>
      <c r="O7" s="16" t="s">
        <v>35</v>
      </c>
      <c r="P7" s="17" t="n">
        <v>85.4493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4"/>
      <c r="H8" s="4" t="s">
        <v>36</v>
      </c>
      <c r="I8" s="4"/>
      <c r="J8" s="5" t="s">
        <f>=SUM(J7:J7)</f>
      </c>
      <c r="K8" s="4"/>
      <c r="L8" s="4"/>
      <c r="M8" s="10" t="s">
        <f>=J8/J13</f>
      </c>
      <c r="N8" s="16"/>
      <c r="O8" s="16" t="s">
        <v>37</v>
      </c>
      <c r="P8" s="17" t="n">
        <v>95.9575</v>
      </c>
      <c r="Q8" s="6" t="s">
        <f>=P8/$P$13</f>
      </c>
    </row>
    <row collapsed="false" customFormat="false" customHeight="false" hidden="false" ht="12.1" outlineLevel="0" r="9">
      <c r="A9" s="16" t="s">
        <v>38</v>
      </c>
      <c r="B9" s="16" t="s">
        <v>39</v>
      </c>
      <c r="C9" s="16" t="s">
        <v>40</v>
      </c>
      <c r="D9" s="16" t="s">
        <v>19</v>
      </c>
      <c r="E9" s="7" t="n">
        <v>1</v>
      </c>
      <c r="F9" s="6" t="n">
        <v>100.8</v>
      </c>
      <c r="G9" s="17" t="n">
        <v>1000</v>
      </c>
      <c r="H9" s="6" t="n">
        <v>4.88</v>
      </c>
      <c r="I9" s="16" t="s">
        <v>41</v>
      </c>
      <c r="J9" s="6" t="s">
        <f>=E9*((F9/100*G9)*Портфель!$Q$13 + H9*Портфель!$Q$13) </f>
      </c>
      <c r="K9" s="9" t="n">
        <v>0.1884</v>
      </c>
      <c r="L9" s="6" t="n">
        <v>1001</v>
      </c>
      <c r="M9" s="17" t="n">
        <v>7.65</v>
      </c>
      <c r="N9" s="16"/>
      <c r="O9" s="16" t="s">
        <v>42</v>
      </c>
      <c r="P9" s="17" t="n">
        <v>10266.6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4"/>
      <c r="H10" s="4" t="s">
        <v>43</v>
      </c>
      <c r="I10" s="4"/>
      <c r="J10" s="5" t="s">
        <f>=SUM(J9:J9)</f>
      </c>
      <c r="K10" s="4"/>
      <c r="L10" s="4"/>
      <c r="M10" s="10" t="s">
        <f>=J10/J13</f>
      </c>
      <c r="N10" s="16"/>
      <c r="O10" s="16" t="s">
        <v>44</v>
      </c>
      <c r="P10" s="17" t="n">
        <v>9.1316</v>
      </c>
      <c r="Q10" s="6" t="s">
        <f>=P10/$P$13</f>
      </c>
    </row>
    <row collapsed="false" customFormat="false" customHeight="false" hidden="false" ht="12.1" outlineLevel="0" r="11">
      <c r="A11" s="16" t="s">
        <v>19</v>
      </c>
      <c r="B11" s="16" t="s">
        <v>3</v>
      </c>
      <c r="C11" s="16" t="s">
        <v>45</v>
      </c>
      <c r="D11" s="16" t="s">
        <v>19</v>
      </c>
      <c r="E11" s="7" t="n">
        <v>208.43</v>
      </c>
      <c r="F11" s="6" t="n">
        <v>1</v>
      </c>
      <c r="G11" s="17" t="n">
        <v>0</v>
      </c>
      <c r="H11" s="6" t="n">
        <v>0</v>
      </c>
      <c r="I11" s="16"/>
      <c r="J11" s="6" t="s">
        <f>=E11*F11</f>
      </c>
      <c r="K11" s="17"/>
      <c r="L11" s="6"/>
      <c r="M11" s="17"/>
      <c r="N11" s="16"/>
      <c r="O11" s="16" t="s">
        <v>46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4"/>
      <c r="H12" s="4" t="s">
        <v>47</v>
      </c>
      <c r="I12" s="4"/>
      <c r="J12" s="5" t="s">
        <f>=SUM(J11:J11)</f>
      </c>
      <c r="K12" s="4"/>
      <c r="L12" s="4"/>
      <c r="M12" s="10" t="s">
        <f>=J12/J13</f>
      </c>
      <c r="N12" s="16"/>
      <c r="O12" s="16" t="s">
        <v>48</v>
      </c>
      <c r="P12" s="17" t="n">
        <v>0.157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4"/>
      <c r="H13" s="4" t="s">
        <v>49</v>
      </c>
      <c r="I13" s="4"/>
      <c r="J13" s="5" t="s">
        <f>=J6+J8+J10+J12</f>
      </c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50</v>
      </c>
      <c r="P14" s="17" t="n">
        <v>174.13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51</v>
      </c>
      <c r="P15" s="17" t="n">
        <v>1.598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52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53</v>
      </c>
      <c r="P17" s="17" t="n">
        <v>71.546</v>
      </c>
      <c r="Q17" s="6" t="s">
        <f>=P17/$P$13</f>
      </c>
    </row>
  </sheetData>
  <mergeCells>
    <mergeCell ref="H6:I6"/>
    <mergeCell ref="H8:I8"/>
    <mergeCell ref="H10:I10"/>
    <mergeCell ref="H12:I1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54</v>
      </c>
      <c r="B1" s="18" t="s">
        <v>9</v>
      </c>
      <c r="C1" s="18" t="s">
        <v>55</v>
      </c>
      <c r="D1" s="18" t="s">
        <v>56</v>
      </c>
      <c r="E1" s="18" t="s">
        <v>57</v>
      </c>
      <c r="F1" s="18" t="s">
        <v>58</v>
      </c>
      <c r="G1" s="18" t="s">
        <v>59</v>
      </c>
      <c r="H1" s="18" t="s">
        <v>60</v>
      </c>
    </row>
    <row collapsed="false" customFormat="false" customHeight="false" hidden="false" ht="12.1" outlineLevel="0" r="2">
      <c r="A2" s="13" t="n">
        <v>45749</v>
      </c>
      <c r="B2" s="6" t="n">
        <v>3000</v>
      </c>
      <c r="C2" s="16" t="s">
        <v>61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45762</v>
      </c>
      <c r="B3" s="6" t="n">
        <v>5200</v>
      </c>
      <c r="C3" s="16" t="s">
        <v>61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45768</v>
      </c>
      <c r="B4" s="6" t="n">
        <v>3400</v>
      </c>
      <c r="C4" s="16" t="s">
        <v>61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45770</v>
      </c>
      <c r="B5" s="6" t="n">
        <v>1000</v>
      </c>
      <c r="C5" s="16" t="s">
        <v>61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45772</v>
      </c>
      <c r="B6" s="6" t="n">
        <v>1300</v>
      </c>
      <c r="C6" s="16" t="s">
        <v>61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45775</v>
      </c>
      <c r="B7" s="6" t="n">
        <v>-40.65</v>
      </c>
      <c r="C7" s="16" t="s">
        <v>62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45775</v>
      </c>
      <c r="B8" s="6" t="n">
        <v>-70</v>
      </c>
      <c r="C8" s="16" t="s">
        <v>63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45777</v>
      </c>
      <c r="B9" s="6" t="n">
        <v>70</v>
      </c>
      <c r="C9" s="16" t="s">
        <v>64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45798</v>
      </c>
      <c r="B10" s="6" t="n">
        <v>-16.66</v>
      </c>
      <c r="C10" s="16" t="s">
        <v>65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45828</v>
      </c>
      <c r="B11" s="6" t="n">
        <v>-16.47</v>
      </c>
      <c r="C11" s="16" t="s">
        <v>66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45847</v>
      </c>
      <c r="B12" s="6" t="n">
        <v>-564</v>
      </c>
      <c r="C12" s="16" t="s">
        <v>67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45852</v>
      </c>
      <c r="B13" s="6" t="n">
        <v>-83.73</v>
      </c>
      <c r="C13" s="16" t="s">
        <v>68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45858</v>
      </c>
      <c r="B14" s="6" t="n">
        <v>-15.84</v>
      </c>
      <c r="C14" s="16" t="s">
        <v>69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45888</v>
      </c>
      <c r="B15" s="6" t="n">
        <v>-14.85</v>
      </c>
      <c r="C15" s="16" t="s">
        <v>70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45918</v>
      </c>
      <c r="B16" s="6" t="n">
        <v>-14.19</v>
      </c>
      <c r="C16" s="16" t="s">
        <v>71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45929</v>
      </c>
      <c r="B17" s="6" t="n">
        <v>-70</v>
      </c>
      <c r="C17" s="16" t="s">
        <v>63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45936</v>
      </c>
      <c r="B18" s="6" t="n">
        <v>-30.5</v>
      </c>
      <c r="C18" s="16" t="s">
        <v>72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45948</v>
      </c>
      <c r="B19" s="6" t="n">
        <v>-13.4</v>
      </c>
      <c r="C19" s="16" t="s">
        <v>73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45978</v>
      </c>
      <c r="B20" s="6" t="n">
        <v>-13.14</v>
      </c>
      <c r="C20" s="16" t="s">
        <v>74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46008</v>
      </c>
      <c r="B21" s="6" t="n">
        <v>-12.96</v>
      </c>
      <c r="C21" s="16" t="s">
        <v>75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46028</v>
      </c>
      <c r="B22" s="6" t="n">
        <v>-320</v>
      </c>
      <c r="C22" s="16" t="s">
        <v>76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46038</v>
      </c>
      <c r="B23" s="6" t="n">
        <v>-12.67</v>
      </c>
      <c r="C23" s="16" t="s">
        <v>77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46068</v>
      </c>
      <c r="B24" s="6" t="n">
        <v>-12.55</v>
      </c>
      <c r="C24" s="16" t="s">
        <v>78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46098</v>
      </c>
      <c r="B25" s="6" t="n">
        <v>-12.21</v>
      </c>
      <c r="C25" s="16" t="s">
        <v>79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46125</v>
      </c>
      <c r="B26" s="6" t="n">
        <v>-41.23</v>
      </c>
      <c r="C26" s="16" t="s">
        <v>80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46128</v>
      </c>
      <c r="B27" s="6" t="n">
        <v>-11.86</v>
      </c>
      <c r="C27" s="16" t="s">
        <v>81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46139</v>
      </c>
      <c r="B28" s="6" t="n">
        <v>-96</v>
      </c>
      <c r="C28" s="16" t="s">
        <v>82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46158</v>
      </c>
      <c r="B29" s="6" t="n">
        <v>-11.52</v>
      </c>
      <c r="C29" s="16" t="s">
        <v>83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2" t="n">
        <v>46168.643831019</v>
      </c>
      <c r="B30" s="5" t="n">
        <v>-13240.78</v>
      </c>
      <c r="C30" s="14" t="s">
        <v>84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/>
      <c r="B31" s="9" t="s">
        <f>=XIRR(B2:B30,A2:A30)</f>
      </c>
      <c r="C31" s="16" t="s">
        <v>85</v>
      </c>
      <c r="D31" s="16"/>
      <c r="E31" s="16"/>
      <c r="F31" s="7"/>
      <c r="G31" s="2" t="s">
        <v>86</v>
      </c>
      <c r="H31" s="6" t="s">
        <f>=SUM(I2:H30)/365</f>
      </c>
    </row>
    <row collapsed="false" customFormat="false" customHeight="false" hidden="false" ht="12.1" outlineLevel="0" r="32">
      <c r="A32" s="13"/>
      <c r="B32" s="5" t="s">
        <f>=-SUM(B2:B30)</f>
      </c>
      <c r="C32" s="16" t="s">
        <v>87</v>
      </c>
      <c r="D32" s="16"/>
      <c r="E32" s="16"/>
      <c r="F32" s="7"/>
      <c r="G32" s="14" t="s">
        <v>88</v>
      </c>
      <c r="H32" s="9" t="s">
        <f>=B32/H31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32</v>
      </c>
      <c r="O1" s="0"/>
      <c r="P1" s="0"/>
      <c r="Q1" s="4" t="s">
        <v>38</v>
      </c>
      <c r="R1" s="0"/>
    </row>
    <row collapsed="false" customFormat="false" customHeight="false" hidden="false" ht="12.1" outlineLevel="0" r="2">
      <c r="A2" s="11" t="n">
        <v>45762</v>
      </c>
      <c r="B2" s="6" t="n">
        <v>4146.64</v>
      </c>
      <c r="C2" s="0" t="s">
        <v>89</v>
      </c>
      <c r="D2" s="11" t="n">
        <v>45768</v>
      </c>
      <c r="E2" s="6" t="n">
        <v>3379.61</v>
      </c>
      <c r="F2" s="0" t="s">
        <v>89</v>
      </c>
      <c r="G2" s="11" t="n">
        <v>45772</v>
      </c>
      <c r="H2" s="6" t="n">
        <v>1297.86</v>
      </c>
      <c r="I2" s="0" t="s">
        <v>89</v>
      </c>
      <c r="J2" s="11" t="n">
        <v>45770</v>
      </c>
      <c r="K2" s="6" t="n">
        <v>946.11</v>
      </c>
      <c r="L2" s="0" t="s">
        <v>89</v>
      </c>
      <c r="M2" s="11" t="n">
        <v>45751</v>
      </c>
      <c r="N2" s="6" t="n">
        <v>2990.35</v>
      </c>
      <c r="O2" s="0" t="s">
        <v>89</v>
      </c>
      <c r="P2" s="11" t="n">
        <v>45768</v>
      </c>
      <c r="Q2" s="6" t="s">
        <f>=1001</f>
      </c>
      <c r="R2" s="0" t="s">
        <v>89</v>
      </c>
    </row>
    <row collapsed="false" customFormat="false" customHeight="false" hidden="false" ht="12.1" outlineLevel="0" r="3">
      <c r="A3" s="11" t="n">
        <v>45775</v>
      </c>
      <c r="B3" s="6" t="n">
        <v>-70</v>
      </c>
      <c r="C3" s="0" t="s">
        <v>63</v>
      </c>
      <c r="D3" s="11" t="n">
        <v>45847</v>
      </c>
      <c r="E3" s="6" t="n">
        <v>-564</v>
      </c>
      <c r="F3" s="0" t="s">
        <v>67</v>
      </c>
      <c r="G3" s="11" t="n">
        <v>45775</v>
      </c>
      <c r="H3" s="6" t="n">
        <v>-40.65</v>
      </c>
      <c r="I3" s="0" t="s">
        <v>62</v>
      </c>
      <c r="J3" s="11" t="n">
        <v>45852</v>
      </c>
      <c r="K3" s="6" t="n">
        <v>-83.73</v>
      </c>
      <c r="L3" s="0" t="s">
        <v>68</v>
      </c>
      <c r="M3" s="11" t="n">
        <v>46168</v>
      </c>
      <c r="N3" s="8" t="s">
        <f>=-Портфель!J7</f>
      </c>
      <c r="O3" s="0" t="s">
        <v>90</v>
      </c>
      <c r="P3" s="11" t="n">
        <v>45798</v>
      </c>
      <c r="Q3" s="6" t="s">
        <f>=-16.66</f>
      </c>
      <c r="R3" s="0" t="s">
        <v>65</v>
      </c>
    </row>
    <row collapsed="false" customFormat="false" customHeight="false" hidden="false" ht="12.1" outlineLevel="0" r="4">
      <c r="A4" s="11" t="n">
        <v>45929</v>
      </c>
      <c r="B4" s="6" t="n">
        <v>-70</v>
      </c>
      <c r="C4" s="0" t="s">
        <v>63</v>
      </c>
      <c r="D4" s="11" t="n">
        <v>46028</v>
      </c>
      <c r="E4" s="6" t="n">
        <v>-320</v>
      </c>
      <c r="F4" s="0" t="s">
        <v>76</v>
      </c>
      <c r="G4" s="11" t="n">
        <v>45936</v>
      </c>
      <c r="H4" s="6" t="n">
        <v>-30.5</v>
      </c>
      <c r="I4" s="0" t="s">
        <v>72</v>
      </c>
      <c r="J4" s="11" t="n">
        <v>46168</v>
      </c>
      <c r="K4" s="8" t="s">
        <f>=-Портфель!J5</f>
      </c>
      <c r="L4" s="0" t="s">
        <v>90</v>
      </c>
      <c r="M4" s="0"/>
      <c r="N4" s="10" t="s">
        <f>=XIRR(N2:N3,M2:M3)</f>
      </c>
      <c r="O4" s="0"/>
      <c r="P4" s="11" t="n">
        <v>45828</v>
      </c>
      <c r="Q4" s="6" t="s">
        <f>=-16.47</f>
      </c>
      <c r="R4" s="0" t="s">
        <v>66</v>
      </c>
    </row>
    <row collapsed="false" customFormat="false" customHeight="false" hidden="false" ht="12.1" outlineLevel="0" r="5">
      <c r="A5" s="11" t="n">
        <v>46139</v>
      </c>
      <c r="B5" s="6" t="n">
        <v>-96</v>
      </c>
      <c r="C5" s="0" t="s">
        <v>82</v>
      </c>
      <c r="D5" s="11" t="n">
        <v>46168</v>
      </c>
      <c r="E5" s="8" t="s">
        <f>=-Портфель!J3</f>
      </c>
      <c r="F5" s="0" t="s">
        <v>90</v>
      </c>
      <c r="G5" s="11" t="n">
        <v>46125</v>
      </c>
      <c r="H5" s="6" t="n">
        <v>-41.23</v>
      </c>
      <c r="I5" s="0" t="s">
        <v>80</v>
      </c>
      <c r="J5" s="0"/>
      <c r="K5" s="10" t="s">
        <f>=XIRR(K2:K4,J2:J4)</f>
      </c>
      <c r="L5" s="0"/>
      <c r="M5" s="0"/>
      <c r="N5" s="8" t="s">
        <f>=-SUM(N2:N3)</f>
      </c>
      <c r="O5" s="0" t="s">
        <v>91</v>
      </c>
      <c r="P5" s="11" t="n">
        <v>45858</v>
      </c>
      <c r="Q5" s="6" t="s">
        <f>=-15.84</f>
      </c>
      <c r="R5" s="0" t="s">
        <v>69</v>
      </c>
    </row>
    <row collapsed="false" customFormat="false" customHeight="false" hidden="false" ht="12.1" outlineLevel="0" r="6">
      <c r="A6" s="11" t="n">
        <v>46168</v>
      </c>
      <c r="B6" s="8" t="s">
        <f>=-Портфель!J2</f>
      </c>
      <c r="C6" s="0" t="s">
        <v>90</v>
      </c>
      <c r="D6" s="0"/>
      <c r="E6" s="10" t="s">
        <f>=XIRR(E2:E5,D2:D5)</f>
      </c>
      <c r="F6" s="0"/>
      <c r="G6" s="11" t="n">
        <v>46168</v>
      </c>
      <c r="H6" s="8" t="s">
        <f>=-Портфель!J4</f>
      </c>
      <c r="I6" s="0" t="s">
        <v>90</v>
      </c>
      <c r="J6" s="0"/>
      <c r="K6" s="8" t="s">
        <f>=-SUM(K2:K4)</f>
      </c>
      <c r="L6" s="0" t="s">
        <v>91</v>
      </c>
      <c r="M6" s="0"/>
      <c r="N6" s="0"/>
      <c r="O6" s="0"/>
      <c r="P6" s="11" t="n">
        <v>45888</v>
      </c>
      <c r="Q6" s="6" t="s">
        <f>=-14.85</f>
      </c>
      <c r="R6" s="0" t="s">
        <v>70</v>
      </c>
    </row>
    <row collapsed="false" customFormat="false" customHeight="false" hidden="false" ht="12.1" outlineLevel="0" r="7">
      <c r="A7" s="0"/>
      <c r="B7" s="10" t="s">
        <f>=XIRR(B2:B6,A2:A6)</f>
      </c>
      <c r="C7" s="0"/>
      <c r="D7" s="0"/>
      <c r="E7" s="8" t="s">
        <f>=-SUM(E2:E5)</f>
      </c>
      <c r="F7" s="0" t="s">
        <v>91</v>
      </c>
      <c r="G7" s="0"/>
      <c r="H7" s="10" t="s">
        <f>=XIRR(H2:H6,G2:G6)</f>
      </c>
      <c r="I7" s="0"/>
      <c r="J7" s="0"/>
      <c r="K7" s="0"/>
      <c r="L7" s="0"/>
      <c r="M7" s="0"/>
      <c r="N7" s="0"/>
      <c r="O7" s="0"/>
      <c r="P7" s="11" t="n">
        <v>45918</v>
      </c>
      <c r="Q7" s="6" t="s">
        <f>=-14.19</f>
      </c>
      <c r="R7" s="0" t="s">
        <v>71</v>
      </c>
    </row>
    <row collapsed="false" customFormat="false" customHeight="false" hidden="false" ht="12.1" outlineLevel="0" r="8">
      <c r="A8" s="0"/>
      <c r="B8" s="8" t="s">
        <f>=-SUM(B2:B6)</f>
      </c>
      <c r="C8" s="0" t="s">
        <v>91</v>
      </c>
      <c r="D8" s="0"/>
      <c r="E8" s="0"/>
      <c r="F8" s="0"/>
      <c r="G8" s="0"/>
      <c r="H8" s="8" t="s">
        <f>=-SUM(H2:H6)</f>
      </c>
      <c r="I8" s="0" t="s">
        <v>91</v>
      </c>
      <c r="J8" s="0"/>
      <c r="K8" s="0"/>
      <c r="L8" s="0"/>
      <c r="M8" s="0"/>
      <c r="N8" s="0"/>
      <c r="O8" s="0"/>
      <c r="P8" s="11" t="n">
        <v>45948</v>
      </c>
      <c r="Q8" s="6" t="s">
        <f>=-13.4</f>
      </c>
      <c r="R8" s="0" t="s">
        <v>73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11" t="n">
        <v>45978</v>
      </c>
      <c r="Q9" s="6" t="s">
        <f>=-13.14</f>
      </c>
      <c r="R9" s="0" t="s">
        <v>74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11" t="n">
        <v>46008</v>
      </c>
      <c r="Q10" s="6" t="s">
        <f>=-12.96</f>
      </c>
      <c r="R10" s="0" t="s">
        <v>75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11" t="n">
        <v>46038</v>
      </c>
      <c r="Q11" s="6" t="s">
        <f>=-12.67</f>
      </c>
      <c r="R11" s="0" t="s">
        <v>77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11" t="n">
        <v>46068</v>
      </c>
      <c r="Q12" s="6" t="s">
        <f>=-12.55</f>
      </c>
      <c r="R12" s="0" t="s">
        <v>78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11" t="n">
        <v>46098</v>
      </c>
      <c r="Q13" s="6" t="s">
        <f>=-12.21</f>
      </c>
      <c r="R13" s="0" t="s">
        <v>79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11" t="n">
        <v>46128</v>
      </c>
      <c r="Q14" s="6" t="s">
        <f>=-11.86</f>
      </c>
      <c r="R14" s="0" t="s">
        <v>81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11" t="n">
        <v>46158</v>
      </c>
      <c r="Q15" s="6" t="s">
        <f>=-11.52</f>
      </c>
      <c r="R15" s="0" t="s">
        <v>83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11" t="n">
        <v>46168</v>
      </c>
      <c r="Q16" s="8" t="s">
        <f>=-Портфель!J9</f>
      </c>
      <c r="R16" s="0" t="s">
        <v>90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10" t="s">
        <f>=XIRR(Q2:Q16,P2:P16)</f>
      </c>
      <c r="R17" s="0"/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8" t="s">
        <f>=-SUM(Q2:Q16)</f>
      </c>
      <c r="R18" s="0" t="s">
        <v>91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92</v>
      </c>
      <c r="C1" s="0"/>
      <c r="D1" s="0"/>
      <c r="E1" s="3" t="s">
        <v>93</v>
      </c>
      <c r="F1" s="0"/>
      <c r="G1" s="0"/>
      <c r="H1" s="3" t="s">
        <v>94</v>
      </c>
      <c r="I1" s="0"/>
      <c r="J1" s="0"/>
      <c r="K1" s="3" t="s">
        <v>95</v>
      </c>
      <c r="L1" s="0"/>
      <c r="M1" s="0"/>
      <c r="N1" s="3" t="s">
        <v>96</v>
      </c>
      <c r="O1" s="0"/>
      <c r="P1" s="0"/>
      <c r="Q1" s="3" t="s">
        <v>97</v>
      </c>
      <c r="R1" s="0"/>
    </row>
    <row collapsed="false" customFormat="false" customHeight="false" hidden="false" ht="12.1" outlineLevel="0" r="2">
      <c r="A2" s="11" t="n">
        <v>45762</v>
      </c>
      <c r="B2" s="6" t="n">
        <v>1</v>
      </c>
      <c r="C2" s="6" t="n">
        <v>4146.64</v>
      </c>
      <c r="D2" s="11" t="n">
        <v>45768</v>
      </c>
      <c r="E2" s="6" t="n">
        <v>1</v>
      </c>
      <c r="F2" s="6" t="n">
        <v>3379.61</v>
      </c>
      <c r="G2" s="11" t="n">
        <v>45772</v>
      </c>
      <c r="H2" s="6" t="n">
        <v>1</v>
      </c>
      <c r="I2" s="6" t="n">
        <v>1297.86</v>
      </c>
      <c r="J2" s="11" t="n">
        <v>45770</v>
      </c>
      <c r="K2" s="6" t="n">
        <v>100</v>
      </c>
      <c r="L2" s="6" t="n">
        <v>946.11</v>
      </c>
      <c r="M2" s="11" t="n">
        <v>45751</v>
      </c>
      <c r="N2" s="6" t="n">
        <v>195</v>
      </c>
      <c r="O2" s="6" t="n">
        <v>2990.35</v>
      </c>
      <c r="P2" s="11" t="n">
        <v>45768</v>
      </c>
      <c r="Q2" s="6" t="n">
        <v>1</v>
      </c>
      <c r="R2" s="6" t="n">
        <v>1001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0"/>
      <c r="N3" s="5" t="s">
        <f>=SUM(O2:O2)/SUM(N2:N2)</f>
      </c>
      <c r="O3" s="0" t="s">
        <v>11</v>
      </c>
      <c r="P3" s="0"/>
      <c r="Q3" s="5" t="s">
        <f>=SUM(R2:R2)/SUM(Q2:Q2)</f>
      </c>
      <c r="R3" s="0" t="s">
        <v>11</v>
      </c>
    </row>
    <row collapsed="false" customFormat="false" customHeight="false" hidden="false" ht="12.1" outlineLevel="0" r="4">
      <c r="A4" s="0"/>
      <c r="B4" s="6" t="n">
        <v>4006.5</v>
      </c>
      <c r="C4" s="0" t="s">
        <v>98</v>
      </c>
      <c r="D4" s="0"/>
      <c r="E4" s="6" t="n">
        <v>2447</v>
      </c>
      <c r="F4" s="0" t="s">
        <v>98</v>
      </c>
      <c r="G4" s="0"/>
      <c r="H4" s="6" t="n">
        <v>1063.6</v>
      </c>
      <c r="I4" s="0" t="s">
        <v>98</v>
      </c>
      <c r="J4" s="0"/>
      <c r="K4" s="6" t="n">
        <v>8.78</v>
      </c>
      <c r="L4" s="0" t="s">
        <v>98</v>
      </c>
      <c r="M4" s="0"/>
      <c r="N4" s="6" t="n">
        <v>18.5865</v>
      </c>
      <c r="O4" s="0" t="s">
        <v>98</v>
      </c>
      <c r="P4" s="0"/>
      <c r="Q4" s="6" t="n">
        <v>100.8</v>
      </c>
      <c r="R4" s="0" t="s">
        <v>98</v>
      </c>
    </row>
    <row collapsed="false" customFormat="false" customHeight="false" hidden="false" ht="12.1" outlineLevel="0" r="5">
      <c r="A5" s="0"/>
      <c r="B5" s="6" t="n">
        <v>1</v>
      </c>
      <c r="C5" s="0" t="s">
        <v>99</v>
      </c>
      <c r="D5" s="0"/>
      <c r="E5" s="6" t="n">
        <v>1</v>
      </c>
      <c r="F5" s="0" t="s">
        <v>99</v>
      </c>
      <c r="G5" s="0"/>
      <c r="H5" s="6" t="n">
        <v>1</v>
      </c>
      <c r="I5" s="0" t="s">
        <v>99</v>
      </c>
      <c r="J5" s="0"/>
      <c r="K5" s="6" t="n">
        <v>100</v>
      </c>
      <c r="L5" s="0" t="s">
        <v>99</v>
      </c>
      <c r="M5" s="0"/>
      <c r="N5" s="6" t="n">
        <v>195</v>
      </c>
      <c r="O5" s="0" t="s">
        <v>99</v>
      </c>
      <c r="P5" s="0"/>
      <c r="Q5" s="6" t="n">
        <v>1</v>
      </c>
      <c r="R5" s="0" t="s">
        <v>99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100</v>
      </c>
      <c r="D6" s="0"/>
      <c r="E6" s="5" t="s">
        <f>=E5*(ABS(E4)-ABS(E3))</f>
      </c>
      <c r="F6" s="0" t="s">
        <v>100</v>
      </c>
      <c r="G6" s="0"/>
      <c r="H6" s="5" t="s">
        <f>=H5*(ABS(H4)-ABS(H3))</f>
      </c>
      <c r="I6" s="0" t="s">
        <v>100</v>
      </c>
      <c r="J6" s="0"/>
      <c r="K6" s="5" t="s">
        <f>=K5*(ABS(K4)-ABS(K3))</f>
      </c>
      <c r="L6" s="0" t="s">
        <v>100</v>
      </c>
      <c r="M6" s="0"/>
      <c r="N6" s="5" t="s">
        <f>=N5*(ABS(N4)-ABS(N3))</f>
      </c>
      <c r="O6" s="0" t="s">
        <v>100</v>
      </c>
      <c r="P6" s="0"/>
      <c r="Q6" s="6" t="s">
        <f>=Портфель!G9*Портфель!$Q$13</f>
      </c>
      <c r="R6" s="0" t="s">
        <v>6</v>
      </c>
    </row>
    <row collapsed="false" customFormat="false" customHeight="false" hidden="false" ht="12.1" outlineLevel="0" r="7">
      <c r="A7" s="0"/>
      <c r="B7" s="0"/>
      <c r="C7" s="0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6" t="s">
        <f>=Портфель!H9*Портфель!$Q$13</f>
      </c>
      <c r="R7" s="0" t="s">
        <v>7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5" t="s">
        <f>=Q5*(Q6*Q4/100-Q3+Q7)</f>
      </c>
      <c r="R8" s="0" t="s">
        <v>100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54</v>
      </c>
      <c r="B1" s="18" t="s">
        <v>0</v>
      </c>
      <c r="C1" s="18" t="s">
        <v>2</v>
      </c>
      <c r="D1" s="18" t="s">
        <v>101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102</v>
      </c>
      <c r="L1" s="18" t="s">
        <v>103</v>
      </c>
      <c r="M1" s="18" t="s">
        <v>19</v>
      </c>
      <c r="N1" s="18" t="s">
        <v>104</v>
      </c>
    </row>
    <row collapsed="false" customFormat="false" customHeight="false" hidden="false" ht="12.1" outlineLevel="0" r="2">
      <c r="A2" s="21" t="n">
        <v>45749</v>
      </c>
      <c r="B2" s="22" t="s">
        <v>105</v>
      </c>
      <c r="C2" s="22" t="s">
        <v>61</v>
      </c>
      <c r="D2" s="22" t="s">
        <v>105</v>
      </c>
      <c r="E2" s="22" t="s">
        <v>105</v>
      </c>
      <c r="F2" s="22" t="s">
        <v>19</v>
      </c>
      <c r="G2" s="23" t="n">
        <v>1</v>
      </c>
      <c r="H2" s="24" t="n">
        <v>3000</v>
      </c>
      <c r="I2" s="24" t="n">
        <v>3000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45751.4496875</v>
      </c>
      <c r="B3" s="16" t="s">
        <v>32</v>
      </c>
      <c r="C3" s="16" t="s">
        <v>106</v>
      </c>
      <c r="D3" s="16" t="s">
        <v>89</v>
      </c>
      <c r="E3" s="16" t="s">
        <v>33</v>
      </c>
      <c r="F3" s="16" t="s">
        <v>19</v>
      </c>
      <c r="G3" s="7" t="n">
        <v>195</v>
      </c>
      <c r="H3" s="6" t="n">
        <v>15.3305</v>
      </c>
      <c r="I3" s="6" t="n">
        <v>-2989.45</v>
      </c>
      <c r="J3" s="6" t="n">
        <v>0</v>
      </c>
      <c r="K3" s="6" t="n">
        <v>0</v>
      </c>
      <c r="L3" s="6" t="n">
        <v>-0.9</v>
      </c>
      <c r="M3" s="6" t="s">
        <f>=I3+J3+K3+L3</f>
      </c>
      <c r="N3" s="16"/>
    </row>
    <row collapsed="false" customFormat="false" customHeight="false" hidden="false" ht="12.1" outlineLevel="0" r="4">
      <c r="A4" s="21" t="n">
        <v>45762</v>
      </c>
      <c r="B4" s="22" t="s">
        <v>105</v>
      </c>
      <c r="C4" s="22" t="s">
        <v>61</v>
      </c>
      <c r="D4" s="22" t="s">
        <v>105</v>
      </c>
      <c r="E4" s="22" t="s">
        <v>105</v>
      </c>
      <c r="F4" s="22" t="s">
        <v>19</v>
      </c>
      <c r="G4" s="23" t="n">
        <v>1</v>
      </c>
      <c r="H4" s="24" t="n">
        <v>5200</v>
      </c>
      <c r="I4" s="24" t="n">
        <v>5200</v>
      </c>
      <c r="J4" s="24" t="n">
        <v>0</v>
      </c>
      <c r="K4" s="24" t="n">
        <v>0</v>
      </c>
      <c r="L4" s="24" t="n">
        <v>0</v>
      </c>
      <c r="M4" s="6" t="s">
        <f>=I4+J4+K4+L4</f>
      </c>
      <c r="N4" s="22"/>
    </row>
    <row collapsed="false" customFormat="false" customHeight="false" hidden="false" ht="12.1" outlineLevel="0" r="5">
      <c r="A5" s="20" t="n">
        <v>45762.623657407</v>
      </c>
      <c r="B5" s="16" t="s">
        <v>16</v>
      </c>
      <c r="C5" s="16" t="s">
        <v>107</v>
      </c>
      <c r="D5" s="16" t="s">
        <v>89</v>
      </c>
      <c r="E5" s="16" t="s">
        <v>17</v>
      </c>
      <c r="F5" s="16" t="s">
        <v>19</v>
      </c>
      <c r="G5" s="7" t="n">
        <v>1</v>
      </c>
      <c r="H5" s="6" t="n">
        <v>4133</v>
      </c>
      <c r="I5" s="6" t="n">
        <v>-4133</v>
      </c>
      <c r="J5" s="6" t="n">
        <v>0</v>
      </c>
      <c r="K5" s="6" t="n">
        <v>-12.4</v>
      </c>
      <c r="L5" s="6" t="n">
        <v>-1.24</v>
      </c>
      <c r="M5" s="6" t="s">
        <f>=I5+J5+K5+L5</f>
      </c>
      <c r="N5" s="16"/>
    </row>
    <row collapsed="false" customFormat="false" customHeight="false" hidden="false" ht="12.1" outlineLevel="0" r="6">
      <c r="A6" s="21" t="n">
        <v>45768</v>
      </c>
      <c r="B6" s="22" t="s">
        <v>105</v>
      </c>
      <c r="C6" s="22" t="s">
        <v>61</v>
      </c>
      <c r="D6" s="22" t="s">
        <v>105</v>
      </c>
      <c r="E6" s="22" t="s">
        <v>105</v>
      </c>
      <c r="F6" s="22" t="s">
        <v>19</v>
      </c>
      <c r="G6" s="23" t="n">
        <v>1</v>
      </c>
      <c r="H6" s="24" t="n">
        <v>3400</v>
      </c>
      <c r="I6" s="24" t="n">
        <v>3400</v>
      </c>
      <c r="J6" s="24" t="n">
        <v>0</v>
      </c>
      <c r="K6" s="24" t="n">
        <v>0</v>
      </c>
      <c r="L6" s="24" t="n">
        <v>0</v>
      </c>
      <c r="M6" s="6" t="s">
        <f>=I6+J6+K6+L6</f>
      </c>
      <c r="N6" s="22"/>
    </row>
    <row collapsed="false" customFormat="false" customHeight="false" hidden="false" ht="12.1" outlineLevel="0" r="7">
      <c r="A7" s="20" t="n">
        <v>45768.416851852</v>
      </c>
      <c r="B7" s="16" t="s">
        <v>21</v>
      </c>
      <c r="C7" s="16" t="s">
        <v>108</v>
      </c>
      <c r="D7" s="16" t="s">
        <v>89</v>
      </c>
      <c r="E7" s="16" t="s">
        <v>17</v>
      </c>
      <c r="F7" s="16" t="s">
        <v>19</v>
      </c>
      <c r="G7" s="7" t="n">
        <v>1</v>
      </c>
      <c r="H7" s="6" t="n">
        <v>3369.5</v>
      </c>
      <c r="I7" s="6" t="n">
        <v>-3369.5</v>
      </c>
      <c r="J7" s="6" t="n">
        <v>0</v>
      </c>
      <c r="K7" s="6" t="n">
        <v>-10.11</v>
      </c>
      <c r="L7" s="6" t="n">
        <v>0</v>
      </c>
      <c r="M7" s="6" t="s">
        <f>=I7+J7+K7+L7</f>
      </c>
      <c r="N7" s="16"/>
    </row>
    <row collapsed="false" customFormat="false" customHeight="false" hidden="false" ht="12.1" outlineLevel="0" r="8">
      <c r="A8" s="20" t="n">
        <v>45768.576956019</v>
      </c>
      <c r="B8" s="16" t="s">
        <v>38</v>
      </c>
      <c r="C8" s="16" t="s">
        <v>109</v>
      </c>
      <c r="D8" s="16" t="s">
        <v>89</v>
      </c>
      <c r="E8" s="16" t="s">
        <v>39</v>
      </c>
      <c r="F8" s="16" t="s">
        <v>19</v>
      </c>
      <c r="G8" s="7" t="n">
        <v>1</v>
      </c>
      <c r="H8" s="6" t="n">
        <v>100</v>
      </c>
      <c r="I8" s="6" t="n">
        <v>-1000</v>
      </c>
      <c r="J8" s="6" t="n">
        <v>0</v>
      </c>
      <c r="K8" s="6" t="n">
        <v>-1</v>
      </c>
      <c r="L8" s="6" t="n">
        <v>0</v>
      </c>
      <c r="M8" s="6" t="s">
        <f>=I8+J8+K8+L8</f>
      </c>
      <c r="N8" s="16"/>
    </row>
    <row collapsed="false" customFormat="false" customHeight="false" hidden="false" ht="12.1" outlineLevel="0" r="9">
      <c r="A9" s="21" t="n">
        <v>45770</v>
      </c>
      <c r="B9" s="22" t="s">
        <v>105</v>
      </c>
      <c r="C9" s="22" t="s">
        <v>61</v>
      </c>
      <c r="D9" s="22" t="s">
        <v>105</v>
      </c>
      <c r="E9" s="22" t="s">
        <v>105</v>
      </c>
      <c r="F9" s="22" t="s">
        <v>19</v>
      </c>
      <c r="G9" s="23" t="n">
        <v>1</v>
      </c>
      <c r="H9" s="24" t="n">
        <v>1000</v>
      </c>
      <c r="I9" s="24" t="n">
        <v>1000</v>
      </c>
      <c r="J9" s="24" t="n">
        <v>0</v>
      </c>
      <c r="K9" s="24" t="n">
        <v>0</v>
      </c>
      <c r="L9" s="24" t="n">
        <v>0</v>
      </c>
      <c r="M9" s="6" t="s">
        <f>=I9+J9+K9+L9</f>
      </c>
      <c r="N9" s="22"/>
    </row>
    <row collapsed="false" customFormat="false" customHeight="false" hidden="false" ht="12.1" outlineLevel="0" r="10">
      <c r="A10" s="20" t="n">
        <v>45770.983518519</v>
      </c>
      <c r="B10" s="16" t="s">
        <v>27</v>
      </c>
      <c r="C10" s="16" t="s">
        <v>110</v>
      </c>
      <c r="D10" s="16" t="s">
        <v>89</v>
      </c>
      <c r="E10" s="16" t="s">
        <v>17</v>
      </c>
      <c r="F10" s="16" t="s">
        <v>19</v>
      </c>
      <c r="G10" s="7" t="n">
        <v>100</v>
      </c>
      <c r="H10" s="6" t="n">
        <v>9.43</v>
      </c>
      <c r="I10" s="6" t="n">
        <v>-943</v>
      </c>
      <c r="J10" s="6" t="n">
        <v>0</v>
      </c>
      <c r="K10" s="6" t="n">
        <v>-2.83</v>
      </c>
      <c r="L10" s="6" t="n">
        <v>-0.28</v>
      </c>
      <c r="M10" s="6" t="s">
        <f>=I10+J10+K10+L10</f>
      </c>
      <c r="N10" s="16"/>
    </row>
    <row collapsed="false" customFormat="false" customHeight="false" hidden="false" ht="12.1" outlineLevel="0" r="11">
      <c r="A11" s="21" t="n">
        <v>45772</v>
      </c>
      <c r="B11" s="22" t="s">
        <v>105</v>
      </c>
      <c r="C11" s="22" t="s">
        <v>61</v>
      </c>
      <c r="D11" s="22" t="s">
        <v>105</v>
      </c>
      <c r="E11" s="22" t="s">
        <v>105</v>
      </c>
      <c r="F11" s="22" t="s">
        <v>19</v>
      </c>
      <c r="G11" s="23" t="n">
        <v>1</v>
      </c>
      <c r="H11" s="24" t="n">
        <v>1300</v>
      </c>
      <c r="I11" s="24" t="n">
        <v>1300</v>
      </c>
      <c r="J11" s="24" t="n">
        <v>0</v>
      </c>
      <c r="K11" s="24" t="n">
        <v>0</v>
      </c>
      <c r="L11" s="24" t="n">
        <v>0</v>
      </c>
      <c r="M11" s="6" t="s">
        <f>=I11+J11+K11+L11</f>
      </c>
      <c r="N11" s="22"/>
    </row>
    <row collapsed="false" customFormat="false" customHeight="false" hidden="false" ht="12.1" outlineLevel="0" r="12">
      <c r="A12" s="20" t="n">
        <v>45772.773738426</v>
      </c>
      <c r="B12" s="16" t="s">
        <v>24</v>
      </c>
      <c r="C12" s="16" t="s">
        <v>111</v>
      </c>
      <c r="D12" s="16" t="s">
        <v>89</v>
      </c>
      <c r="E12" s="16" t="s">
        <v>17</v>
      </c>
      <c r="F12" s="16" t="s">
        <v>19</v>
      </c>
      <c r="G12" s="7" t="n">
        <v>1</v>
      </c>
      <c r="H12" s="6" t="n">
        <v>1293.6</v>
      </c>
      <c r="I12" s="6" t="n">
        <v>-1293.6</v>
      </c>
      <c r="J12" s="6" t="n">
        <v>0</v>
      </c>
      <c r="K12" s="6" t="n">
        <v>-3.88</v>
      </c>
      <c r="L12" s="6" t="n">
        <v>-0.38</v>
      </c>
      <c r="M12" s="6" t="s">
        <f>=I12+J12+K12+L12</f>
      </c>
      <c r="N12" s="16"/>
    </row>
    <row collapsed="false" customFormat="false" customHeight="false" hidden="false" ht="12.1" outlineLevel="0" r="13">
      <c r="A13" s="21" t="n">
        <v>45777</v>
      </c>
      <c r="B13" s="22" t="s">
        <v>112</v>
      </c>
      <c r="C13" s="22" t="s">
        <v>113</v>
      </c>
      <c r="D13" s="22" t="s">
        <v>112</v>
      </c>
      <c r="E13" s="22" t="s">
        <v>112</v>
      </c>
      <c r="F13" s="22" t="s">
        <v>19</v>
      </c>
      <c r="G13" s="23" t="n">
        <v>1</v>
      </c>
      <c r="H13" s="24" t="n">
        <v>70</v>
      </c>
      <c r="I13" s="24" t="n">
        <v>70</v>
      </c>
      <c r="J13" s="24" t="n">
        <v>0</v>
      </c>
      <c r="K13" s="24" t="n">
        <v>0</v>
      </c>
      <c r="L13" s="24" t="n">
        <v>0</v>
      </c>
      <c r="M13" s="6" t="s">
        <f>=I13+J13+K13+L13</f>
      </c>
      <c r="N13" s="22"/>
    </row>
    <row collapsed="false" customFormat="false" customHeight="false" hidden="false" ht="12.1" outlineLevel="0" r="14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 t="s">
        <v>114</v>
      </c>
      <c r="M14" s="5" t="s">
        <f>=SUM(M2:M13)</f>
      </c>
      <c r="N14" s="4"/>
    </row>
  </sheetData>
  <autoFilter ref="A1:N1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26" t="s">
        <v>54</v>
      </c>
      <c r="B1" s="26" t="s">
        <v>115</v>
      </c>
      <c r="C1" s="26" t="s">
        <v>0</v>
      </c>
      <c r="D1" s="26" t="s">
        <v>2</v>
      </c>
      <c r="E1" s="26" t="s">
        <v>116</v>
      </c>
      <c r="F1" s="26" t="s">
        <v>3</v>
      </c>
      <c r="G1" s="26" t="s">
        <v>117</v>
      </c>
      <c r="H1" s="26" t="s">
        <v>118</v>
      </c>
      <c r="I1" s="26" t="s">
        <v>119</v>
      </c>
      <c r="J1" s="26" t="s">
        <v>120</v>
      </c>
      <c r="K1" s="26" t="s">
        <v>121</v>
      </c>
      <c r="L1" s="26" t="s">
        <v>122</v>
      </c>
      <c r="M1" s="26" t="s">
        <v>123</v>
      </c>
      <c r="N1" s="26" t="s">
        <v>124</v>
      </c>
    </row>
    <row collapsed="false" customFormat="false" customHeight="false" hidden="false" ht="12.1" outlineLevel="0" r="2">
      <c r="A2" s="25" t="n">
        <v>45775</v>
      </c>
      <c r="B2" s="16" t="s">
        <v>125</v>
      </c>
      <c r="C2" s="16" t="s">
        <v>24</v>
      </c>
      <c r="D2" s="16" t="s">
        <v>25</v>
      </c>
      <c r="E2" s="7" t="n">
        <v>1</v>
      </c>
      <c r="F2" s="16" t="s">
        <v>19</v>
      </c>
      <c r="G2" s="6" t="n">
        <v>46.65</v>
      </c>
      <c r="H2" s="6" t="n">
        <v>1266.2</v>
      </c>
      <c r="I2" s="6" t="n">
        <v>1297.86</v>
      </c>
      <c r="J2" s="6" t="n">
        <v>6</v>
      </c>
      <c r="K2" s="6" t="n">
        <v>46.65</v>
      </c>
      <c r="L2" s="6" t="n">
        <v>40.65</v>
      </c>
      <c r="M2" s="6" t="n">
        <v>3.13</v>
      </c>
      <c r="N2" s="6" t="n">
        <v>3.21</v>
      </c>
    </row>
    <row collapsed="false" customFormat="false" customHeight="false" hidden="false" ht="12.1" outlineLevel="0" r="3">
      <c r="A3" s="25" t="n">
        <v>45775</v>
      </c>
      <c r="B3" s="16" t="s">
        <v>125</v>
      </c>
      <c r="C3" s="16" t="s">
        <v>16</v>
      </c>
      <c r="D3" s="16" t="s">
        <v>18</v>
      </c>
      <c r="E3" s="7" t="n">
        <v>1</v>
      </c>
      <c r="F3" s="16" t="s">
        <v>19</v>
      </c>
      <c r="G3" s="6" t="n">
        <v>80</v>
      </c>
      <c r="H3" s="6" t="n">
        <v>4283</v>
      </c>
      <c r="I3" s="6" t="n">
        <v>4146.64</v>
      </c>
      <c r="J3" s="6" t="n">
        <v>10</v>
      </c>
      <c r="K3" s="6" t="n">
        <v>80</v>
      </c>
      <c r="L3" s="6" t="n">
        <v>70</v>
      </c>
      <c r="M3" s="6" t="n">
        <v>1.69</v>
      </c>
      <c r="N3" s="6" t="n">
        <v>1.63</v>
      </c>
    </row>
    <row collapsed="false" customFormat="false" customHeight="false" hidden="false" ht="12.1" outlineLevel="0" r="4">
      <c r="A4" s="25" t="n">
        <v>45847</v>
      </c>
      <c r="B4" s="16" t="s">
        <v>125</v>
      </c>
      <c r="C4" s="16" t="s">
        <v>21</v>
      </c>
      <c r="D4" s="16" t="s">
        <v>22</v>
      </c>
      <c r="E4" s="7" t="n">
        <v>1</v>
      </c>
      <c r="F4" s="16" t="s">
        <v>19</v>
      </c>
      <c r="G4" s="6" t="n">
        <v>648</v>
      </c>
      <c r="H4" s="6" t="n">
        <v>2870.5</v>
      </c>
      <c r="I4" s="6" t="n">
        <v>3379.61</v>
      </c>
      <c r="J4" s="6" t="n">
        <v>84</v>
      </c>
      <c r="K4" s="6" t="n">
        <v>648</v>
      </c>
      <c r="L4" s="6" t="n">
        <v>564</v>
      </c>
      <c r="M4" s="6" t="n">
        <v>16.69</v>
      </c>
      <c r="N4" s="6" t="n">
        <v>19.65</v>
      </c>
    </row>
    <row collapsed="false" customFormat="false" customHeight="false" hidden="false" ht="12.1" outlineLevel="0" r="5">
      <c r="A5" s="25" t="n">
        <v>45852</v>
      </c>
      <c r="B5" s="16" t="s">
        <v>125</v>
      </c>
      <c r="C5" s="16" t="s">
        <v>27</v>
      </c>
      <c r="D5" s="16" t="s">
        <v>28</v>
      </c>
      <c r="E5" s="7" t="n">
        <v>100</v>
      </c>
      <c r="F5" s="16" t="s">
        <v>19</v>
      </c>
      <c r="G5" s="6" t="n">
        <v>0.9573</v>
      </c>
      <c r="H5" s="6" t="n">
        <v>8.565</v>
      </c>
      <c r="I5" s="6" t="n">
        <v>9.46</v>
      </c>
      <c r="J5" s="6" t="n">
        <v>12</v>
      </c>
      <c r="K5" s="6" t="n">
        <v>95.73</v>
      </c>
      <c r="L5" s="6" t="n">
        <v>83.73</v>
      </c>
      <c r="M5" s="6" t="n">
        <v>8.85</v>
      </c>
      <c r="N5" s="6" t="n">
        <v>9.78</v>
      </c>
    </row>
    <row collapsed="false" customFormat="false" customHeight="false" hidden="false" ht="12.1" outlineLevel="0" r="6">
      <c r="A6" s="25" t="n">
        <v>45929</v>
      </c>
      <c r="B6" s="16" t="s">
        <v>125</v>
      </c>
      <c r="C6" s="16" t="s">
        <v>16</v>
      </c>
      <c r="D6" s="16" t="s">
        <v>18</v>
      </c>
      <c r="E6" s="7" t="n">
        <v>1</v>
      </c>
      <c r="F6" s="16" t="s">
        <v>19</v>
      </c>
      <c r="G6" s="6" t="n">
        <v>80</v>
      </c>
      <c r="H6" s="6" t="n">
        <v>3940</v>
      </c>
      <c r="I6" s="6" t="n">
        <v>4146.64</v>
      </c>
      <c r="J6" s="6" t="n">
        <v>10</v>
      </c>
      <c r="K6" s="6" t="n">
        <v>80</v>
      </c>
      <c r="L6" s="6" t="n">
        <v>70</v>
      </c>
      <c r="M6" s="6" t="n">
        <v>1.69</v>
      </c>
      <c r="N6" s="6" t="n">
        <v>1.78</v>
      </c>
    </row>
    <row collapsed="false" customFormat="false" customHeight="false" hidden="false" ht="12.1" outlineLevel="0" r="7">
      <c r="A7" s="25" t="n">
        <v>45936</v>
      </c>
      <c r="B7" s="16" t="s">
        <v>125</v>
      </c>
      <c r="C7" s="16" t="s">
        <v>24</v>
      </c>
      <c r="D7" s="16" t="s">
        <v>25</v>
      </c>
      <c r="E7" s="7" t="n">
        <v>1</v>
      </c>
      <c r="F7" s="16" t="s">
        <v>19</v>
      </c>
      <c r="G7" s="6" t="n">
        <v>35.5</v>
      </c>
      <c r="H7" s="6" t="n">
        <v>1083.2</v>
      </c>
      <c r="I7" s="6" t="n">
        <v>1297.86</v>
      </c>
      <c r="J7" s="6" t="n">
        <v>5</v>
      </c>
      <c r="K7" s="6" t="n">
        <v>35.5</v>
      </c>
      <c r="L7" s="6" t="n">
        <v>30.5</v>
      </c>
      <c r="M7" s="6" t="n">
        <v>2.35</v>
      </c>
      <c r="N7" s="6" t="n">
        <v>2.82</v>
      </c>
    </row>
    <row collapsed="false" customFormat="false" customHeight="false" hidden="false" ht="12.1" outlineLevel="0" r="8">
      <c r="A8" s="25" t="n">
        <v>46028</v>
      </c>
      <c r="B8" s="16" t="s">
        <v>125</v>
      </c>
      <c r="C8" s="16" t="s">
        <v>21</v>
      </c>
      <c r="D8" s="16" t="s">
        <v>22</v>
      </c>
      <c r="E8" s="7" t="n">
        <v>1</v>
      </c>
      <c r="F8" s="16" t="s">
        <v>19</v>
      </c>
      <c r="G8" s="6" t="n">
        <v>368</v>
      </c>
      <c r="H8" s="6" t="n">
        <v>2725.5</v>
      </c>
      <c r="I8" s="6" t="n">
        <v>3379.61</v>
      </c>
      <c r="J8" s="6" t="n">
        <v>48</v>
      </c>
      <c r="K8" s="6" t="n">
        <v>368</v>
      </c>
      <c r="L8" s="6" t="n">
        <v>320</v>
      </c>
      <c r="M8" s="6" t="n">
        <v>9.47</v>
      </c>
      <c r="N8" s="6" t="n">
        <v>11.74</v>
      </c>
    </row>
    <row collapsed="false" customFormat="false" customHeight="false" hidden="false" ht="12.1" outlineLevel="0" r="9">
      <c r="A9" s="25" t="n">
        <v>46125</v>
      </c>
      <c r="B9" s="16" t="s">
        <v>125</v>
      </c>
      <c r="C9" s="16" t="s">
        <v>24</v>
      </c>
      <c r="D9" s="16" t="s">
        <v>25</v>
      </c>
      <c r="E9" s="7" t="n">
        <v>1</v>
      </c>
      <c r="F9" s="16" t="s">
        <v>19</v>
      </c>
      <c r="G9" s="6" t="n">
        <v>47.23</v>
      </c>
      <c r="H9" s="6" t="n">
        <v>1207.5</v>
      </c>
      <c r="I9" s="6" t="n">
        <v>1297.86</v>
      </c>
      <c r="J9" s="6" t="n">
        <v>6</v>
      </c>
      <c r="K9" s="6" t="n">
        <v>47.23</v>
      </c>
      <c r="L9" s="6" t="n">
        <v>41.23</v>
      </c>
      <c r="M9" s="6" t="n">
        <v>3.18</v>
      </c>
      <c r="N9" s="6" t="n">
        <v>3.41</v>
      </c>
    </row>
    <row collapsed="false" customFormat="false" customHeight="false" hidden="false" ht="12.1" outlineLevel="0" r="10">
      <c r="A10" s="25" t="n">
        <v>46139</v>
      </c>
      <c r="B10" s="16" t="s">
        <v>125</v>
      </c>
      <c r="C10" s="16" t="s">
        <v>16</v>
      </c>
      <c r="D10" s="16" t="s">
        <v>18</v>
      </c>
      <c r="E10" s="7" t="n">
        <v>1</v>
      </c>
      <c r="F10" s="16" t="s">
        <v>19</v>
      </c>
      <c r="G10" s="6" t="n">
        <v>110</v>
      </c>
      <c r="H10" s="6" t="n">
        <v>4151</v>
      </c>
      <c r="I10" s="6" t="n">
        <v>4146.64</v>
      </c>
      <c r="J10" s="6" t="n">
        <v>14</v>
      </c>
      <c r="K10" s="6" t="n">
        <v>110</v>
      </c>
      <c r="L10" s="6" t="n">
        <v>96</v>
      </c>
      <c r="M10" s="6" t="n">
        <v>2.32</v>
      </c>
      <c r="N10" s="6" t="n">
        <v>2.31</v>
      </c>
    </row>
    <row collapsed="false" customFormat="false" customHeight="false" hidden="false" ht="12.1" outlineLevel="0" r="11">
      <c r="A11" s="25"/>
      <c r="B11" s="16"/>
      <c r="C11" s="16"/>
      <c r="D11" s="16"/>
      <c r="E11" s="7"/>
      <c r="F11" s="16"/>
      <c r="G11" s="6"/>
      <c r="H11" s="6"/>
      <c r="I11" s="6"/>
      <c r="J11" s="6"/>
      <c r="K11" s="6"/>
      <c r="L11" s="6"/>
      <c r="M11" s="6"/>
      <c r="N11" s="6"/>
    </row>
    <row collapsed="false" customFormat="false" customHeight="false" hidden="false" ht="12.1" outlineLevel="0" r="12">
      <c r="A12" s="25" t="n">
        <v>46210</v>
      </c>
      <c r="B12" s="16" t="s">
        <v>125</v>
      </c>
      <c r="C12" s="16" t="s">
        <v>21</v>
      </c>
      <c r="D12" s="16" t="s">
        <v>22</v>
      </c>
      <c r="E12" s="7" t="n">
        <v>1</v>
      </c>
      <c r="F12" s="16" t="s">
        <v>19</v>
      </c>
      <c r="G12" s="6" t="n">
        <v>245</v>
      </c>
      <c r="H12" s="6" t="n">
        <v>2470</v>
      </c>
      <c r="I12" s="6" t="n">
        <v>3379.61</v>
      </c>
      <c r="J12" s="6" t="n">
        <v>32</v>
      </c>
      <c r="K12" s="6" t="n">
        <v>245</v>
      </c>
      <c r="L12" s="6" t="n">
        <v>213</v>
      </c>
      <c r="M12" s="6" t="n">
        <v>6.3</v>
      </c>
      <c r="N12" s="6" t="n">
        <v>8.62</v>
      </c>
    </row>
  </sheetData>
  <autoFilter ref="A1:N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26" t="s">
        <v>54</v>
      </c>
      <c r="B1" s="26" t="s">
        <v>115</v>
      </c>
      <c r="C1" s="26" t="s">
        <v>0</v>
      </c>
      <c r="D1" s="26" t="s">
        <v>2</v>
      </c>
      <c r="E1" s="26" t="s">
        <v>6</v>
      </c>
      <c r="F1" s="26" t="s">
        <v>116</v>
      </c>
      <c r="G1" s="26" t="s">
        <v>126</v>
      </c>
      <c r="H1" s="26" t="s">
        <v>120</v>
      </c>
      <c r="I1" s="26" t="s">
        <v>121</v>
      </c>
      <c r="J1" s="26" t="s">
        <v>122</v>
      </c>
    </row>
    <row collapsed="false" customFormat="false" customHeight="false" hidden="false" ht="12.1" outlineLevel="0" r="2">
      <c r="A2" s="27" t="n">
        <v>45797</v>
      </c>
      <c r="B2" s="16" t="s">
        <v>125</v>
      </c>
      <c r="C2" s="16" t="s">
        <v>38</v>
      </c>
      <c r="D2" s="16" t="s">
        <v>40</v>
      </c>
      <c r="E2" s="6" t="n">
        <v>1000</v>
      </c>
      <c r="F2" s="7" t="n">
        <v>1</v>
      </c>
      <c r="G2" s="6" t="n">
        <v>18.66</v>
      </c>
      <c r="H2" s="6" t="n">
        <v>2</v>
      </c>
      <c r="I2" s="6" t="n">
        <v>18.66</v>
      </c>
      <c r="J2" s="6" t="n">
        <v>16.66</v>
      </c>
    </row>
    <row collapsed="false" customFormat="false" customHeight="false" hidden="false" ht="12.1" outlineLevel="0" r="3">
      <c r="A3" s="27" t="n">
        <v>45827</v>
      </c>
      <c r="B3" s="16" t="s">
        <v>125</v>
      </c>
      <c r="C3" s="16" t="s">
        <v>38</v>
      </c>
      <c r="D3" s="16" t="s">
        <v>40</v>
      </c>
      <c r="E3" s="6" t="n">
        <v>1000</v>
      </c>
      <c r="F3" s="7" t="n">
        <v>1</v>
      </c>
      <c r="G3" s="6" t="n">
        <v>18.47</v>
      </c>
      <c r="H3" s="6" t="n">
        <v>2</v>
      </c>
      <c r="I3" s="6" t="n">
        <v>18.47</v>
      </c>
      <c r="J3" s="6" t="n">
        <v>16.47</v>
      </c>
    </row>
    <row collapsed="false" customFormat="false" customHeight="false" hidden="false" ht="12.1" outlineLevel="0" r="4">
      <c r="A4" s="27" t="n">
        <v>45857</v>
      </c>
      <c r="B4" s="16" t="s">
        <v>125</v>
      </c>
      <c r="C4" s="16" t="s">
        <v>38</v>
      </c>
      <c r="D4" s="16" t="s">
        <v>40</v>
      </c>
      <c r="E4" s="6" t="n">
        <v>1000</v>
      </c>
      <c r="F4" s="7" t="n">
        <v>1</v>
      </c>
      <c r="G4" s="6" t="n">
        <v>17.84</v>
      </c>
      <c r="H4" s="6" t="n">
        <v>2</v>
      </c>
      <c r="I4" s="6" t="n">
        <v>17.84</v>
      </c>
      <c r="J4" s="6" t="n">
        <v>15.84</v>
      </c>
    </row>
    <row collapsed="false" customFormat="false" customHeight="false" hidden="false" ht="12.1" outlineLevel="0" r="5">
      <c r="A5" s="27" t="n">
        <v>45887</v>
      </c>
      <c r="B5" s="16" t="s">
        <v>125</v>
      </c>
      <c r="C5" s="16" t="s">
        <v>38</v>
      </c>
      <c r="D5" s="16" t="s">
        <v>40</v>
      </c>
      <c r="E5" s="6" t="n">
        <v>1000</v>
      </c>
      <c r="F5" s="7" t="n">
        <v>1</v>
      </c>
      <c r="G5" s="6" t="n">
        <v>16.85</v>
      </c>
      <c r="H5" s="6" t="n">
        <v>2</v>
      </c>
      <c r="I5" s="6" t="n">
        <v>16.85</v>
      </c>
      <c r="J5" s="6" t="n">
        <v>14.85</v>
      </c>
    </row>
    <row collapsed="false" customFormat="false" customHeight="false" hidden="false" ht="12.1" outlineLevel="0" r="6">
      <c r="A6" s="27" t="n">
        <v>45917</v>
      </c>
      <c r="B6" s="16" t="s">
        <v>125</v>
      </c>
      <c r="C6" s="16" t="s">
        <v>38</v>
      </c>
      <c r="D6" s="16" t="s">
        <v>40</v>
      </c>
      <c r="E6" s="6" t="n">
        <v>1000</v>
      </c>
      <c r="F6" s="7" t="n">
        <v>1</v>
      </c>
      <c r="G6" s="6" t="n">
        <v>16.19</v>
      </c>
      <c r="H6" s="6" t="n">
        <v>2</v>
      </c>
      <c r="I6" s="6" t="n">
        <v>16.19</v>
      </c>
      <c r="J6" s="6" t="n">
        <v>14.19</v>
      </c>
    </row>
    <row collapsed="false" customFormat="false" customHeight="false" hidden="false" ht="12.1" outlineLevel="0" r="7">
      <c r="A7" s="27" t="n">
        <v>45947</v>
      </c>
      <c r="B7" s="16" t="s">
        <v>125</v>
      </c>
      <c r="C7" s="16" t="s">
        <v>38</v>
      </c>
      <c r="D7" s="16" t="s">
        <v>40</v>
      </c>
      <c r="E7" s="6" t="n">
        <v>1000</v>
      </c>
      <c r="F7" s="7" t="n">
        <v>1</v>
      </c>
      <c r="G7" s="6" t="n">
        <v>15.4</v>
      </c>
      <c r="H7" s="6" t="n">
        <v>2</v>
      </c>
      <c r="I7" s="6" t="n">
        <v>15.4</v>
      </c>
      <c r="J7" s="6" t="n">
        <v>13.4</v>
      </c>
    </row>
    <row collapsed="false" customFormat="false" customHeight="false" hidden="false" ht="12.1" outlineLevel="0" r="8">
      <c r="A8" s="27" t="n">
        <v>45977</v>
      </c>
      <c r="B8" s="16" t="s">
        <v>125</v>
      </c>
      <c r="C8" s="16" t="s">
        <v>38</v>
      </c>
      <c r="D8" s="16" t="s">
        <v>40</v>
      </c>
      <c r="E8" s="6" t="n">
        <v>1000</v>
      </c>
      <c r="F8" s="7" t="n">
        <v>1</v>
      </c>
      <c r="G8" s="6" t="n">
        <v>15.14</v>
      </c>
      <c r="H8" s="6" t="n">
        <v>2</v>
      </c>
      <c r="I8" s="6" t="n">
        <v>15.14</v>
      </c>
      <c r="J8" s="6" t="n">
        <v>13.14</v>
      </c>
    </row>
    <row collapsed="false" customFormat="false" customHeight="false" hidden="false" ht="12.1" outlineLevel="0" r="9">
      <c r="A9" s="27" t="n">
        <v>46007</v>
      </c>
      <c r="B9" s="16" t="s">
        <v>125</v>
      </c>
      <c r="C9" s="16" t="s">
        <v>38</v>
      </c>
      <c r="D9" s="16" t="s">
        <v>40</v>
      </c>
      <c r="E9" s="6" t="n">
        <v>1000</v>
      </c>
      <c r="F9" s="7" t="n">
        <v>1</v>
      </c>
      <c r="G9" s="6" t="n">
        <v>14.96</v>
      </c>
      <c r="H9" s="6" t="n">
        <v>2</v>
      </c>
      <c r="I9" s="6" t="n">
        <v>14.96</v>
      </c>
      <c r="J9" s="6" t="n">
        <v>12.96</v>
      </c>
    </row>
    <row collapsed="false" customFormat="false" customHeight="false" hidden="false" ht="12.1" outlineLevel="0" r="10">
      <c r="A10" s="27" t="n">
        <v>46037</v>
      </c>
      <c r="B10" s="16" t="s">
        <v>125</v>
      </c>
      <c r="C10" s="16" t="s">
        <v>38</v>
      </c>
      <c r="D10" s="16" t="s">
        <v>40</v>
      </c>
      <c r="E10" s="6" t="n">
        <v>1000</v>
      </c>
      <c r="F10" s="7" t="n">
        <v>1</v>
      </c>
      <c r="G10" s="6" t="n">
        <v>14.67</v>
      </c>
      <c r="H10" s="6" t="n">
        <v>2</v>
      </c>
      <c r="I10" s="6" t="n">
        <v>14.67</v>
      </c>
      <c r="J10" s="6" t="n">
        <v>12.67</v>
      </c>
    </row>
    <row collapsed="false" customFormat="false" customHeight="false" hidden="false" ht="12.1" outlineLevel="0" r="11">
      <c r="A11" s="27" t="n">
        <v>46067</v>
      </c>
      <c r="B11" s="16" t="s">
        <v>125</v>
      </c>
      <c r="C11" s="16" t="s">
        <v>38</v>
      </c>
      <c r="D11" s="16" t="s">
        <v>40</v>
      </c>
      <c r="E11" s="6" t="n">
        <v>1000</v>
      </c>
      <c r="F11" s="7" t="n">
        <v>1</v>
      </c>
      <c r="G11" s="6" t="n">
        <v>14.55</v>
      </c>
      <c r="H11" s="6" t="n">
        <v>2</v>
      </c>
      <c r="I11" s="6" t="n">
        <v>14.55</v>
      </c>
      <c r="J11" s="6" t="n">
        <v>12.55</v>
      </c>
    </row>
    <row collapsed="false" customFormat="false" customHeight="false" hidden="false" ht="12.1" outlineLevel="0" r="12">
      <c r="A12" s="27" t="n">
        <v>46097</v>
      </c>
      <c r="B12" s="16" t="s">
        <v>125</v>
      </c>
      <c r="C12" s="16" t="s">
        <v>38</v>
      </c>
      <c r="D12" s="16" t="s">
        <v>40</v>
      </c>
      <c r="E12" s="6" t="n">
        <v>1000</v>
      </c>
      <c r="F12" s="7" t="n">
        <v>1</v>
      </c>
      <c r="G12" s="6" t="n">
        <v>14.21</v>
      </c>
      <c r="H12" s="6" t="n">
        <v>2</v>
      </c>
      <c r="I12" s="6" t="n">
        <v>14.21</v>
      </c>
      <c r="J12" s="6" t="n">
        <v>12.21</v>
      </c>
    </row>
    <row collapsed="false" customFormat="false" customHeight="false" hidden="false" ht="12.1" outlineLevel="0" r="13">
      <c r="A13" s="27" t="n">
        <v>46127</v>
      </c>
      <c r="B13" s="16" t="s">
        <v>125</v>
      </c>
      <c r="C13" s="16" t="s">
        <v>38</v>
      </c>
      <c r="D13" s="16" t="s">
        <v>40</v>
      </c>
      <c r="E13" s="6" t="n">
        <v>1000</v>
      </c>
      <c r="F13" s="7" t="n">
        <v>1</v>
      </c>
      <c r="G13" s="6" t="n">
        <v>13.86</v>
      </c>
      <c r="H13" s="6" t="n">
        <v>2</v>
      </c>
      <c r="I13" s="6" t="n">
        <v>13.86</v>
      </c>
      <c r="J13" s="6" t="n">
        <v>11.86</v>
      </c>
    </row>
    <row collapsed="false" customFormat="false" customHeight="false" hidden="false" ht="12.1" outlineLevel="0" r="14">
      <c r="A14" s="27" t="n">
        <v>46157</v>
      </c>
      <c r="B14" s="16" t="s">
        <v>125</v>
      </c>
      <c r="C14" s="16" t="s">
        <v>38</v>
      </c>
      <c r="D14" s="16" t="s">
        <v>40</v>
      </c>
      <c r="E14" s="6" t="n">
        <v>1000</v>
      </c>
      <c r="F14" s="7" t="n">
        <v>1</v>
      </c>
      <c r="G14" s="6" t="n">
        <v>13.52</v>
      </c>
      <c r="H14" s="6" t="n">
        <v>2</v>
      </c>
      <c r="I14" s="6" t="n">
        <v>13.52</v>
      </c>
      <c r="J14" s="6" t="n">
        <v>11.52</v>
      </c>
    </row>
    <row collapsed="false" customFormat="false" customHeight="false" hidden="false" ht="12.1" outlineLevel="0" r="15">
      <c r="A15" s="27"/>
      <c r="B15" s="16"/>
      <c r="C15" s="16"/>
      <c r="D15" s="16"/>
      <c r="E15" s="6"/>
      <c r="F15" s="7"/>
      <c r="G15" s="6"/>
      <c r="H15" s="6"/>
      <c r="I15" s="6"/>
      <c r="J15" s="6"/>
    </row>
    <row collapsed="false" customFormat="false" customHeight="false" hidden="false" ht="12.1" outlineLevel="0" r="16">
      <c r="A16" s="27" t="n">
        <v>46187</v>
      </c>
      <c r="B16" s="16" t="s">
        <v>125</v>
      </c>
      <c r="C16" s="16" t="s">
        <v>38</v>
      </c>
      <c r="D16" s="16" t="s">
        <v>40</v>
      </c>
      <c r="E16" s="6" t="n">
        <v>1000</v>
      </c>
      <c r="F16" s="7" t="n">
        <v>1</v>
      </c>
      <c r="G16" s="6" t="n">
        <v>13.52</v>
      </c>
      <c r="H16" s="6" t="n">
        <v>2</v>
      </c>
      <c r="I16" s="6" t="n">
        <v>13.52</v>
      </c>
      <c r="J16" s="6" t="n">
        <v>11.52</v>
      </c>
    </row>
    <row collapsed="false" customFormat="false" customHeight="false" hidden="false" ht="12.1" outlineLevel="0" r="17">
      <c r="A17" s="27" t="n">
        <v>46217</v>
      </c>
      <c r="B17" s="16" t="s">
        <v>125</v>
      </c>
      <c r="C17" s="16" t="s">
        <v>38</v>
      </c>
      <c r="D17" s="16" t="s">
        <v>40</v>
      </c>
      <c r="E17" s="6" t="n">
        <v>1000</v>
      </c>
      <c r="F17" s="7" t="n">
        <v>1</v>
      </c>
      <c r="G17" s="6" t="n">
        <v>13.52</v>
      </c>
      <c r="H17" s="6" t="n">
        <v>2</v>
      </c>
      <c r="I17" s="6" t="n">
        <v>13.52</v>
      </c>
      <c r="J17" s="6" t="n">
        <v>11.52</v>
      </c>
    </row>
    <row collapsed="false" customFormat="false" customHeight="false" hidden="false" ht="12.1" outlineLevel="0" r="18">
      <c r="A18" s="27" t="n">
        <v>46247</v>
      </c>
      <c r="B18" s="16" t="s">
        <v>125</v>
      </c>
      <c r="C18" s="16" t="s">
        <v>38</v>
      </c>
      <c r="D18" s="16" t="s">
        <v>40</v>
      </c>
      <c r="E18" s="6" t="n">
        <v>1000</v>
      </c>
      <c r="F18" s="7" t="n">
        <v>1</v>
      </c>
      <c r="G18" s="6" t="n">
        <v>13.52</v>
      </c>
      <c r="H18" s="6" t="n">
        <v>2</v>
      </c>
      <c r="I18" s="6" t="n">
        <v>13.52</v>
      </c>
      <c r="J18" s="6" t="n">
        <v>11.52</v>
      </c>
    </row>
    <row collapsed="false" customFormat="false" customHeight="false" hidden="false" ht="12.1" outlineLevel="0" r="19">
      <c r="A19" s="27" t="n">
        <v>46277</v>
      </c>
      <c r="B19" s="16" t="s">
        <v>125</v>
      </c>
      <c r="C19" s="16" t="s">
        <v>38</v>
      </c>
      <c r="D19" s="16" t="s">
        <v>40</v>
      </c>
      <c r="E19" s="6" t="n">
        <v>1000</v>
      </c>
      <c r="F19" s="7" t="n">
        <v>1</v>
      </c>
      <c r="G19" s="6" t="n">
        <v>13.52</v>
      </c>
      <c r="H19" s="6" t="n">
        <v>2</v>
      </c>
      <c r="I19" s="6" t="n">
        <v>13.52</v>
      </c>
      <c r="J19" s="6" t="n">
        <v>11.52</v>
      </c>
    </row>
    <row collapsed="false" customFormat="false" customHeight="false" hidden="false" ht="12.1" outlineLevel="0" r="20">
      <c r="A20" s="27" t="n">
        <v>46307</v>
      </c>
      <c r="B20" s="16" t="s">
        <v>125</v>
      </c>
      <c r="C20" s="16" t="s">
        <v>38</v>
      </c>
      <c r="D20" s="16" t="s">
        <v>40</v>
      </c>
      <c r="E20" s="6" t="n">
        <v>1000</v>
      </c>
      <c r="F20" s="7" t="n">
        <v>1</v>
      </c>
      <c r="G20" s="6" t="n">
        <v>13.52</v>
      </c>
      <c r="H20" s="6" t="n">
        <v>2</v>
      </c>
      <c r="I20" s="6" t="n">
        <v>13.52</v>
      </c>
      <c r="J20" s="6" t="n">
        <v>11.52</v>
      </c>
    </row>
    <row collapsed="false" customFormat="false" customHeight="false" hidden="false" ht="12.1" outlineLevel="0" r="21">
      <c r="A21" s="27" t="n">
        <v>46337</v>
      </c>
      <c r="B21" s="16" t="s">
        <v>125</v>
      </c>
      <c r="C21" s="16" t="s">
        <v>38</v>
      </c>
      <c r="D21" s="16" t="s">
        <v>40</v>
      </c>
      <c r="E21" s="6" t="n">
        <v>1000</v>
      </c>
      <c r="F21" s="7" t="n">
        <v>1</v>
      </c>
      <c r="G21" s="6" t="n">
        <v>13.52</v>
      </c>
      <c r="H21" s="6" t="n">
        <v>2</v>
      </c>
      <c r="I21" s="6" t="n">
        <v>13.52</v>
      </c>
      <c r="J21" s="6" t="n">
        <v>11.52</v>
      </c>
    </row>
    <row collapsed="false" customFormat="false" customHeight="false" hidden="false" ht="12.1" outlineLevel="0" r="22">
      <c r="A22" s="27" t="n">
        <v>46367</v>
      </c>
      <c r="B22" s="16" t="s">
        <v>125</v>
      </c>
      <c r="C22" s="16" t="s">
        <v>38</v>
      </c>
      <c r="D22" s="16" t="s">
        <v>40</v>
      </c>
      <c r="E22" s="6" t="n">
        <v>1000</v>
      </c>
      <c r="F22" s="7" t="n">
        <v>1</v>
      </c>
      <c r="G22" s="6" t="n">
        <v>13.52</v>
      </c>
      <c r="H22" s="6" t="n">
        <v>2</v>
      </c>
      <c r="I22" s="6" t="n">
        <v>13.52</v>
      </c>
      <c r="J22" s="6" t="n">
        <v>11.52</v>
      </c>
    </row>
    <row collapsed="false" customFormat="false" customHeight="false" hidden="false" ht="12.1" outlineLevel="0" r="23">
      <c r="A23" s="27" t="n">
        <v>46397</v>
      </c>
      <c r="B23" s="16" t="s">
        <v>125</v>
      </c>
      <c r="C23" s="16" t="s">
        <v>38</v>
      </c>
      <c r="D23" s="16" t="s">
        <v>40</v>
      </c>
      <c r="E23" s="6" t="n">
        <v>1000</v>
      </c>
      <c r="F23" s="7" t="n">
        <v>1</v>
      </c>
      <c r="G23" s="6" t="n">
        <v>13.52</v>
      </c>
      <c r="H23" s="6" t="n">
        <v>2</v>
      </c>
      <c r="I23" s="6" t="n">
        <v>13.52</v>
      </c>
      <c r="J23" s="6" t="n">
        <v>11.52</v>
      </c>
    </row>
    <row collapsed="false" customFormat="false" customHeight="false" hidden="false" ht="12.1" outlineLevel="0" r="24">
      <c r="A24" s="27" t="n">
        <v>46427</v>
      </c>
      <c r="B24" s="16" t="s">
        <v>125</v>
      </c>
      <c r="C24" s="16" t="s">
        <v>38</v>
      </c>
      <c r="D24" s="16" t="s">
        <v>40</v>
      </c>
      <c r="E24" s="6" t="n">
        <v>1000</v>
      </c>
      <c r="F24" s="7" t="n">
        <v>1</v>
      </c>
      <c r="G24" s="6" t="n">
        <v>13.52</v>
      </c>
      <c r="H24" s="6" t="n">
        <v>2</v>
      </c>
      <c r="I24" s="6" t="n">
        <v>13.52</v>
      </c>
      <c r="J24" s="6" t="n">
        <v>11.52</v>
      </c>
    </row>
    <row collapsed="false" customFormat="false" customHeight="false" hidden="false" ht="12.1" outlineLevel="0" r="25">
      <c r="A25" s="27" t="n">
        <v>46457</v>
      </c>
      <c r="B25" s="16" t="s">
        <v>125</v>
      </c>
      <c r="C25" s="16" t="s">
        <v>38</v>
      </c>
      <c r="D25" s="16" t="s">
        <v>40</v>
      </c>
      <c r="E25" s="6" t="n">
        <v>1000</v>
      </c>
      <c r="F25" s="7" t="n">
        <v>1</v>
      </c>
      <c r="G25" s="6" t="n">
        <v>13.52</v>
      </c>
      <c r="H25" s="6" t="n">
        <v>2</v>
      </c>
      <c r="I25" s="6" t="n">
        <v>13.52</v>
      </c>
      <c r="J25" s="6" t="n">
        <v>11.52</v>
      </c>
    </row>
    <row collapsed="false" customFormat="false" customHeight="false" hidden="false" ht="12.1" outlineLevel="0" r="26">
      <c r="A26" s="27" t="n">
        <v>46487</v>
      </c>
      <c r="B26" s="16" t="s">
        <v>125</v>
      </c>
      <c r="C26" s="16" t="s">
        <v>38</v>
      </c>
      <c r="D26" s="16" t="s">
        <v>40</v>
      </c>
      <c r="E26" s="6" t="n">
        <v>1000</v>
      </c>
      <c r="F26" s="7" t="n">
        <v>1</v>
      </c>
      <c r="G26" s="6" t="n">
        <v>13.52</v>
      </c>
      <c r="H26" s="6" t="n">
        <v>2</v>
      </c>
      <c r="I26" s="6" t="n">
        <v>13.52</v>
      </c>
      <c r="J26" s="6" t="n">
        <v>11.52</v>
      </c>
    </row>
  </sheetData>
  <autoFilter ref="A1:J2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6" t="s">
        <v>54</v>
      </c>
      <c r="B1" s="26" t="s">
        <v>115</v>
      </c>
      <c r="C1" s="26" t="s">
        <v>0</v>
      </c>
      <c r="D1" s="26" t="s">
        <v>2</v>
      </c>
      <c r="E1" s="26" t="s">
        <v>116</v>
      </c>
      <c r="F1" s="26" t="s">
        <v>127</v>
      </c>
      <c r="G1" s="26" t="s">
        <v>128</v>
      </c>
      <c r="H1" s="26" t="s">
        <v>58</v>
      </c>
      <c r="I1" s="26" t="s">
        <v>129</v>
      </c>
      <c r="J1" s="26" t="s">
        <v>130</v>
      </c>
      <c r="K1" s="26" t="s">
        <v>131</v>
      </c>
      <c r="L1" s="26" t="s">
        <v>132</v>
      </c>
      <c r="M1" s="26" t="s">
        <v>133</v>
      </c>
      <c r="N1" s="26" t="s">
        <v>134</v>
      </c>
      <c r="O1" s="26" t="s">
        <v>135</v>
      </c>
    </row>
    <row collapsed="false" customFormat="false" customHeight="false" hidden="false" ht="12.1" outlineLevel="0" r="2">
      <c r="A2" s="28" t="n">
        <v>45762</v>
      </c>
      <c r="B2" s="16" t="s">
        <v>125</v>
      </c>
      <c r="C2" s="16" t="s">
        <v>16</v>
      </c>
      <c r="D2" s="16" t="s">
        <v>18</v>
      </c>
      <c r="E2" s="17" t="n">
        <v>1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407</v>
      </c>
      <c r="J2" s="17" t="n">
        <v>4146.64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8" t="n">
        <v>45768</v>
      </c>
      <c r="B3" s="16" t="s">
        <v>125</v>
      </c>
      <c r="C3" s="16" t="s">
        <v>21</v>
      </c>
      <c r="D3" s="16" t="s">
        <v>22</v>
      </c>
      <c r="E3" s="17" t="n">
        <v>1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401</v>
      </c>
      <c r="J3" s="17" t="n">
        <v>3379.61</v>
      </c>
      <c r="K3" s="6" t="s">
        <f>=Портфель!F3*Портфель!$Q$13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8" t="n">
        <v>45772</v>
      </c>
      <c r="B4" s="16" t="s">
        <v>125</v>
      </c>
      <c r="C4" s="16" t="s">
        <v>24</v>
      </c>
      <c r="D4" s="16" t="s">
        <v>25</v>
      </c>
      <c r="E4" s="17" t="n">
        <v>1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396</v>
      </c>
      <c r="J4" s="17" t="n">
        <v>1297.86</v>
      </c>
      <c r="K4" s="6" t="s">
        <f>=Портфель!F4*Портфель!$Q$13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8" t="n">
        <v>45770</v>
      </c>
      <c r="B5" s="16" t="s">
        <v>125</v>
      </c>
      <c r="C5" s="16" t="s">
        <v>27</v>
      </c>
      <c r="D5" s="16" t="s">
        <v>28</v>
      </c>
      <c r="E5" s="17" t="n">
        <v>100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398</v>
      </c>
      <c r="J5" s="17" t="n">
        <v>9.4611</v>
      </c>
      <c r="K5" s="6" t="s">
        <f>=Портфель!F5*Портфель!$Q$13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8" t="n">
        <v>45751</v>
      </c>
      <c r="B6" s="16" t="s">
        <v>125</v>
      </c>
      <c r="C6" s="16" t="s">
        <v>32</v>
      </c>
      <c r="D6" s="16" t="s">
        <v>34</v>
      </c>
      <c r="E6" s="17" t="n">
        <v>195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418</v>
      </c>
      <c r="J6" s="17" t="n">
        <v>15.335128205128</v>
      </c>
      <c r="K6" s="6" t="s">
        <f>=Портфель!F7*Портфель!$Q$13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28" t="n">
        <v>45768</v>
      </c>
      <c r="B7" s="16" t="s">
        <v>125</v>
      </c>
      <c r="C7" s="16" t="s">
        <v>38</v>
      </c>
      <c r="D7" s="16" t="s">
        <v>40</v>
      </c>
      <c r="E7" s="17" t="n">
        <v>1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401</v>
      </c>
      <c r="J7" s="17" t="n">
        <v>1001</v>
      </c>
      <c r="K7" s="6" t="s">
        <f>=Портфель!F9*Портфель!G9/100*Портфель!$Q$13+Портфель!H9*Портфель!$Q$13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28"/>
      <c r="B8" s="16"/>
      <c r="C8" s="16"/>
      <c r="D8" s="16"/>
      <c r="E8" s="17"/>
      <c r="F8" s="7"/>
      <c r="G8" s="17"/>
      <c r="H8" s="16"/>
      <c r="I8" s="7"/>
      <c r="J8" s="17"/>
      <c r="K8" s="4" t="s">
        <v>49</v>
      </c>
      <c r="L8" s="8" t="s">
        <f>=SUBTOTAL(109,L2:L7)</f>
      </c>
      <c r="M8" s="8" t="s">
        <f>=SUBTOTAL(109,M2:M7)</f>
      </c>
      <c r="N8" s="8" t="s">
        <f>=MAX(0,M8*0.13)</f>
      </c>
    </row>
  </sheetData>
  <autoFilter ref="A1:O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6" t="s">
        <v>0</v>
      </c>
      <c r="B1" s="26" t="s">
        <v>2</v>
      </c>
      <c r="C1" s="26" t="s">
        <v>136</v>
      </c>
      <c r="D1" s="26" t="s">
        <v>137</v>
      </c>
      <c r="E1" s="26" t="s">
        <v>119</v>
      </c>
      <c r="F1" s="26" t="s">
        <v>138</v>
      </c>
      <c r="G1" s="26" t="s">
        <v>116</v>
      </c>
      <c r="H1" s="26" t="s">
        <v>139</v>
      </c>
      <c r="I1" s="26" t="s">
        <v>140</v>
      </c>
      <c r="J1" s="26" t="s">
        <v>141</v>
      </c>
      <c r="K1" s="26" t="s">
        <v>142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2026-05-26T15:27:08.00Z</dcterms:created>
  <dc:creator>izi-invest.ru</dc:creator>
  <cp:revision>0</cp:revision>
</cp:coreProperties>
</file>