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windowHeight="8192" windowWidth="16384" xWindow="0" yWindow="0"/>
  </bookViews>
  <sheets>
    <sheet name="Портфель" sheetId="1" state="visible" r:id="rId2"/>
    <sheet name="XIRR" sheetId="2" state="visible" r:id="rId3"/>
    <sheet name="Доходность откр." sheetId="3" state="visible" r:id="rId4"/>
    <sheet name="Доход" sheetId="4" state="visible" r:id="rId5"/>
    <sheet name="Сделки" sheetId="5" state="visible" r:id="rId6"/>
    <sheet name="Дивиденды" sheetId="6" state="visible" r:id="rId7"/>
    <sheet name="Купоны" sheetId="7" state="visible" r:id="rId8"/>
    <sheet name="Возраст" sheetId="8" state="visible" r:id="rId9"/>
    <sheet name="FIFO" sheetId="9" state="visible" r:id="rId10"/>
  </sheets>
  <calcPr iterateCount="100" refMode="A1" iterate="false" iterateDelta="0.001"/>
</workbook>
</file>

<file path=xl/sharedStrings.xml><?xml version="1.0" encoding="utf-8"?>
<sst xmlns="http://schemas.openxmlformats.org/spreadsheetml/2006/main" count="447" uniqueCount="144">
  <si>
    <t>Тикер</t>
  </si>
  <si>
    <t>Тип</t>
  </si>
  <si>
    <t>Название</t>
  </si>
  <si>
    <t>Валюта</t>
  </si>
  <si>
    <t>Количество</t>
  </si>
  <si>
    <t>Цена</t>
  </si>
  <si>
    <t>Номинал</t>
  </si>
  <si>
    <t>НКД</t>
  </si>
  <si>
    <t>Погашение</t>
  </si>
  <si>
    <t>Сумма</t>
  </si>
  <si>
    <t>Доходность</t>
  </si>
  <si>
    <t>Средняя цена</t>
  </si>
  <si>
    <t>Доля</t>
  </si>
  <si>
    <t>Имя</t>
  </si>
  <si>
    <t>Курс к рублю</t>
  </si>
  <si>
    <t>Курс к RUR</t>
  </si>
  <si>
    <t>YDEX</t>
  </si>
  <si>
    <t>share</t>
  </si>
  <si>
    <t>ЯНДЕКС</t>
  </si>
  <si>
    <t>RUR</t>
  </si>
  <si>
    <t>AMD</t>
  </si>
  <si>
    <t>X5</t>
  </si>
  <si>
    <t>КЦ ИКС 5</t>
  </si>
  <si>
    <t>BYN</t>
  </si>
  <si>
    <t>NVTK</t>
  </si>
  <si>
    <t>Новатэк ао</t>
  </si>
  <si>
    <t>CAD</t>
  </si>
  <si>
    <t>NMTP</t>
  </si>
  <si>
    <t>НМТП ао</t>
  </si>
  <si>
    <t>CHF</t>
  </si>
  <si>
    <t>Сумма по акциям:</t>
  </si>
  <si>
    <t>CNY</t>
  </si>
  <si>
    <t>SBMM</t>
  </si>
  <si>
    <t>etf</t>
  </si>
  <si>
    <t>SBMM ETF</t>
  </si>
  <si>
    <t>EUR</t>
  </si>
  <si>
    <t>Сумма по фондам:</t>
  </si>
  <si>
    <t>GBP</t>
  </si>
  <si>
    <t>RU000A10BF48</t>
  </si>
  <si>
    <t>bond</t>
  </si>
  <si>
    <t>ЯНДЕКС1Р1</t>
  </si>
  <si>
    <t>2027-04-11</t>
  </si>
  <si>
    <t>GLD</t>
  </si>
  <si>
    <t>Сумма по облигациям:</t>
  </si>
  <si>
    <t>HKD</t>
  </si>
  <si>
    <t>Рубль</t>
  </si>
  <si>
    <t>JPY</t>
  </si>
  <si>
    <t>Сумма по валютам:</t>
  </si>
  <si>
    <t>KZT</t>
  </si>
  <si>
    <t>Сумма:</t>
  </si>
  <si>
    <t>SLV</t>
  </si>
  <si>
    <t>TRY</t>
  </si>
  <si>
    <t>UAH</t>
  </si>
  <si>
    <t>USD</t>
  </si>
  <si>
    <t>Дата</t>
  </si>
  <si>
    <t>Примечание</t>
  </si>
  <si>
    <t>.</t>
  </si>
  <si>
    <t>..</t>
  </si>
  <si>
    <t>d</t>
  </si>
  <si>
    <t>s</t>
  </si>
  <si>
    <t>ds</t>
  </si>
  <si>
    <t>Зачисление денежных средств</t>
  </si>
  <si>
    <t>Дивиденд по YDEX - ЯНДЕКС 1шт. по 80 RUR - налог 10 RUR (данные из БД)</t>
  </si>
  <si>
    <t>Дивиденд по NVTK - Новатэк ао 1шт. по 46.65 RUR - налог 6 RUR (данные из БД)</t>
  </si>
  <si>
    <t>Дивиденды ЯНДЕКС; ISIN RU000A107T19; Дата Фиксации 28/04/2025; Кол-во 1; Ставка Выплаты 80; Курс конвертации 1.0000; Налог удерж (данные из сделок)</t>
  </si>
  <si>
    <t>Купон по RU000A10BF48 - ЯНДЕКС1Р1 1шт. по 18.66 RUR - налог 2 RUR (данные из БД)</t>
  </si>
  <si>
    <t>Купон по RU000A10BF48 - ЯНДЕКС1Р1 1шт. по 18.47 RUR - налог 2 RUR (данные из БД)</t>
  </si>
  <si>
    <t>Дивиденд по X5 - КЦ ИКС 5 1шт. по 648 RUR - налог 84 RUR (данные из БД)</t>
  </si>
  <si>
    <t>Дивиденд по NMTP - НМТП ао 100шт. по 0.96 RUR - налог 12 RUR (данные из БД)</t>
  </si>
  <si>
    <t>Купон по RU000A10BF48 - ЯНДЕКС1Р1 1шт. по 17.84 RUR - налог 2 RUR (данные из БД)</t>
  </si>
  <si>
    <t>Купон по RU000A10BF48 - ЯНДЕКС1Р1 1шт. по 16.85 RUR - налог 2 RUR (данные из БД)</t>
  </si>
  <si>
    <t>Купон по RU000A10BF48 - ЯНДЕКС1Р1 1шт. по 16.19 RUR - налог 2 RUR (данные из БД)</t>
  </si>
  <si>
    <t>Дивиденд по NVTK - Новатэк ао 1шт. по 35.5 RUR - налог 5 RUR (данные из БД)</t>
  </si>
  <si>
    <t>Купон по RU000A10BF48 - ЯНДЕКС1Р1 1шт. по 15.4 RUR - налог 2 RUR (данные из БД)</t>
  </si>
  <si>
    <t>Купон по RU000A10BF48 - ЯНДЕКС1Р1 1шт. по 15.14 RUR - налог 2 RUR (данные из БД)</t>
  </si>
  <si>
    <t>Купон по RU000A10BF48 - ЯНДЕКС1Р1 1шт. по 14.96 RUR - налог 2 RUR (данные из БД)</t>
  </si>
  <si>
    <t>Дивиденд по X5 - КЦ ИКС 5 1шт. по 368 RUR - налог 48 RUR (данные из БД)</t>
  </si>
  <si>
    <t>Купон по RU000A10BF48 - ЯНДЕКС1Р1 1шт. по 14.67 RUR - налог 2 RUR (данные из БД)</t>
  </si>
  <si>
    <t>Купон по RU000A10BF48 - ЯНДЕКС1Р1 1шт. по 14.55 RUR - налог 2 RUR (данные из БД)</t>
  </si>
  <si>
    <t>Купон по RU000A10BF48 - ЯНДЕКС1Р1 1шт. по 14.21 RUR - налог 2 RUR (данные из БД)</t>
  </si>
  <si>
    <t>Дивиденд по NVTK - Новатэк ао 1шт. по 47.23 RUR - налог 6 RUR (данные из БД)</t>
  </si>
  <si>
    <t>Купон по RU000A10BF48 - ЯНДЕКС1Р1 1шт. по 13.86 RUR - налог 2 RUR (данные из БД)</t>
  </si>
  <si>
    <t>Дивиденд по YDEX - ЯНДЕКС 1шт. по 110 RUR - налог 14 RUR (данные из БД)</t>
  </si>
  <si>
    <t>Купон по RU000A10BF48 - ЯНДЕКС1Р1 1шт. по 13.52 RUR - налог 2 RUR (данные из БД)</t>
  </si>
  <si>
    <t>Купон по RU000A10BF48 - ЯНДЕКС1Р1 1шт. по 13.32 RUR - налог 2 RUR (данные из БД)</t>
  </si>
  <si>
    <t>Баланс сейчас</t>
  </si>
  <si>
    <t>XIRR</t>
  </si>
  <si>
    <t>Сред.взвеш.сумм.</t>
  </si>
  <si>
    <t>Полный доход, RUR</t>
  </si>
  <si>
    <t>Сред.год.дох.</t>
  </si>
  <si>
    <t>buy</t>
  </si>
  <si>
    <t>Стоимость сейчас</t>
  </si>
  <si>
    <t>Полный доход</t>
  </si>
  <si>
    <t>YDEX
ЯНДЕКС</t>
  </si>
  <si>
    <t>X5
КЦ ИКС 5</t>
  </si>
  <si>
    <t>NVTK
Новатэк ао</t>
  </si>
  <si>
    <t>NMTP
НМТП ао</t>
  </si>
  <si>
    <t>SBMM
SBMM ETF</t>
  </si>
  <si>
    <t>RU000A10BF48
ЯНДЕКС1Р1</t>
  </si>
  <si>
    <t>Текущая цена</t>
  </si>
  <si>
    <t>Остаток</t>
  </si>
  <si>
    <t>Доход</t>
  </si>
  <si>
    <t>Операция</t>
  </si>
  <si>
    <t>Комиссия банка</t>
  </si>
  <si>
    <t>Комиссия ТС</t>
  </si>
  <si>
    <t>Комментарий</t>
  </si>
  <si>
    <t>input</t>
  </si>
  <si>
    <t>БПИФ Первая Сберегательный</t>
  </si>
  <si>
    <t>МКПАО ЯНДЕКС</t>
  </si>
  <si>
    <t>Корпоративный центр ИКС 5</t>
  </si>
  <si>
    <t>МКПАО ЯНДЕКС 001Р-01</t>
  </si>
  <si>
    <t>НМТП (ПАО) ао</t>
  </si>
  <si>
    <t>ПАО "НОВАТЭК" ао</t>
  </si>
  <si>
    <t>dohod</t>
  </si>
  <si>
    <t>Дивиденды ЯНДЕКС; ISIN RU000A107T19; Дата Фиксации 28/04/2025; Кол-во 1; Ставка Выплаты 80; Курс конвертации 1.0000; Налог удерж</t>
  </si>
  <si>
    <t>Остаток:</t>
  </si>
  <si>
    <t>Портфель</t>
  </si>
  <si>
    <t>Кол.</t>
  </si>
  <si>
    <t>Дивиденд</t>
  </si>
  <si>
    <t>Цена отсечки</t>
  </si>
  <si>
    <t>Цена покупки</t>
  </si>
  <si>
    <t>Налог</t>
  </si>
  <si>
    <t>Сумма 
до налога</t>
  </si>
  <si>
    <t>Сумма 
после налога</t>
  </si>
  <si>
    <t>Доходность к 
цене отсечки</t>
  </si>
  <si>
    <t>Доходность к 
цене покупки</t>
  </si>
  <si>
    <t>Капитал</t>
  </si>
  <si>
    <t>Купон</t>
  </si>
  <si>
    <t>Y</t>
  </si>
  <si>
    <t>m</t>
  </si>
  <si>
    <t>Всего дней</t>
  </si>
  <si>
    <t>Цена покупки с НКД и комиссией</t>
  </si>
  <si>
    <t>Цена сейчас с НКД</t>
  </si>
  <si>
    <t>Сумма при продаже</t>
  </si>
  <si>
    <t>Прибыль</t>
  </si>
  <si>
    <t>Налог при продаже</t>
  </si>
  <si>
    <t>Сегодня</t>
  </si>
  <si>
    <t>Покупка</t>
  </si>
  <si>
    <t>Продажа</t>
  </si>
  <si>
    <t>Цена продажи</t>
  </si>
  <si>
    <t>Результат</t>
  </si>
  <si>
    <t>Доходность сделки</t>
  </si>
  <si>
    <t>Срок</t>
  </si>
  <si>
    <t>Доходность годовых</t>
  </si>
</sst>
</file>

<file path=xl/styles.xml><?xml version="1.0" encoding="utf-8"?>
<styleSheet xmlns="http://schemas.openxmlformats.org/spreadsheetml/2006/main">
  <numFmts count="14">
    <numFmt numFmtId="164" formatCode="GENERAL"/>
    <numFmt numFmtId="165" formatCode="#,##0.00"/>
    <numFmt numFmtId="166" formatCode="0"/>
    <numFmt numFmtId="167" formatCode="0.00%"/>
    <numFmt numFmtId="168" formatCode="YYYY\-MM\-DD"/>
    <numFmt numFmtId="169" formatCode="YYYY\-MM\-DD"/>
    <numFmt numFmtId="170" formatCode="0.00"/>
    <numFmt numFmtId="171" formatCode="YYYY\-MM\-DD"/>
    <numFmt numFmtId="172" formatCode="YYYY\-MM\-DD"/>
    <numFmt numFmtId="173" formatCode="YYYY\-MM\-DD"/>
    <numFmt numFmtId="174" formatCode="YYYY\-MM\-DD"/>
    <numFmt numFmtId="175" formatCode="YYYY\-MM\-DD"/>
    <numFmt numFmtId="176" formatCode="YYYY\-MM\-DD"/>
    <numFmt numFmtId="177" formatCode="YYYY\-MM\-DD"/>
  </numFmts>
  <fonts count="3">
    <font>
      <sz val="11"/>
      <name val="Calibri"/>
      <charset val="0"/>
      <scheme val="minor"/>
      <family val="0"/>
    </font>
    <font>
      <b/>
      <sz val="11"/>
      <name val="Calibri"/>
      <charset val="0"/>
      <scheme val="minor"/>
      <family val="0"/>
    </font>
    <font>
      <color rgb="FF2C6DD4"/>
      <sz val="11"/>
      <name val="Calibri"/>
      <charset val="0"/>
      <scheme val="minor"/>
      <family val="0"/>
    </font>
  </fonts>
  <fills count="5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DAE6F5FF"/>
      </patternFill>
    </fill>
    <fill>
      <patternFill patternType="solid">
        <fgColor rgb="FFF2FFF9"/>
      </patternFill>
    </fill>
  </fills>
  <borders count="2">
    <border diagonalDown="false" diagonalUp="false"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43"/>
    <xf applyAlignment="false" applyBorder="false" applyFont="true" applyProtection="false" borderId="0" fillId="0" fontId="0" numFmtId="41"/>
    <xf applyAlignment="false" applyBorder="false" applyFont="true" applyProtection="false" borderId="0" fillId="0" fontId="0" numFmtId="44"/>
    <xf applyAlignment="false" applyBorder="false" applyFont="true" applyProtection="false" borderId="0" fillId="0" fontId="0" numFmtId="42"/>
    <xf applyAlignment="false" applyBorder="false" applyFont="true" applyProtection="false" borderId="0" fillId="0" fontId="0" numFmtId="9"/>
  </cellStyleXfs>
  <cellXfs count="31">
    <xf applyAlignment="false" applyBorder="false" applyFont="true" applyProtection="false" borderId="0" fillId="0" fontId="0" numFmtId="164"/>
    <xf applyAlignment="false" applyBorder="false" applyFont="true" applyProtection="false" borderId="0" fillId="1" fontId="0" numFmtId="164"/>
    <xf applyAlignment="true" applyBorder="false" applyFont="true" applyProtection="false" borderId="1" fillId="0" fontId="0" numFmtId="164">
      <alignment wrapText="1"/>
    </xf>
    <xf applyAlignment="true" applyBorder="false" applyFont="true" applyProtection="false" borderId="1" fillId="0" fontId="1" numFmtId="164">
      <alignment wrapText="1"/>
    </xf>
    <xf applyAlignment="false" applyBorder="false" applyFont="true" applyProtection="false" borderId="1" fillId="0" fontId="1" numFmtId="164"/>
    <xf applyAlignment="false" applyBorder="false" applyFont="true" applyProtection="false" borderId="1" fillId="2" fontId="1" numFmtId="165"/>
    <xf applyAlignment="false" applyBorder="false" applyFont="true" applyProtection="false" borderId="1" fillId="0" fontId="0" numFmtId="165"/>
    <xf applyAlignment="false" applyBorder="false" applyFont="true" applyProtection="false" borderId="1" fillId="0" fontId="0" numFmtId="166"/>
    <xf applyAlignment="false" applyBorder="false" applyFont="true" applyProtection="false" borderId="1" fillId="0" fontId="1" numFmtId="165"/>
    <xf applyAlignment="false" applyBorder="false" applyFont="true" applyProtection="false" borderId="1" fillId="0" fontId="1" numFmtId="167"/>
    <xf applyAlignment="false" applyBorder="false" applyFont="true" applyProtection="false" borderId="1" fillId="2" fontId="1" numFmtId="167"/>
    <xf applyAlignment="false" applyBorder="false" applyFont="true" applyProtection="false" borderId="1" fillId="0" fontId="1" numFmtId="168"/>
    <xf applyAlignment="false" applyBorder="false" applyFont="true" applyProtection="false" borderId="1" fillId="2" fontId="1" numFmtId="169"/>
    <xf applyAlignment="false" applyBorder="false" applyFont="true" applyProtection="false" borderId="1" fillId="0" fontId="0" numFmtId="169"/>
    <xf applyAlignment="false" applyBorder="false" applyFont="true" applyProtection="false" borderId="1" fillId="2" fontId="1" numFmtId="164"/>
    <xf applyAlignment="false" applyBorder="false" applyFont="true" applyProtection="false" borderId="1" fillId="0" fontId="2" numFmtId="164"/>
    <xf applyAlignment="false" applyBorder="false" applyFont="true" applyProtection="false" borderId="1" fillId="0" fontId="0" numFmtId="164"/>
    <xf applyAlignment="false" applyBorder="false" applyFont="true" applyProtection="false" borderId="1" fillId="0" fontId="0" numFmtId="170"/>
    <xf applyAlignment="false" applyBorder="false" applyFont="true" applyProtection="false" borderId="1" fillId="3" fontId="1" numFmtId="164"/>
    <xf applyAlignment="false" applyBorder="false" applyFont="true" applyProtection="false" borderId="1" fillId="0" fontId="0" numFmtId="171"/>
    <xf applyAlignment="false" applyBorder="false" applyFont="true" applyProtection="false" borderId="1" fillId="0" fontId="0" numFmtId="172"/>
    <xf applyAlignment="false" applyBorder="false" applyFont="true" applyProtection="false" borderId="1" fillId="4" fontId="0" numFmtId="172"/>
    <xf applyAlignment="false" applyBorder="false" applyFont="true" applyProtection="false" borderId="1" fillId="4" fontId="0" numFmtId="164"/>
    <xf applyAlignment="false" applyBorder="false" applyFont="true" applyProtection="false" borderId="1" fillId="4" fontId="0" numFmtId="166"/>
    <xf applyAlignment="false" applyBorder="false" applyFont="true" applyProtection="false" borderId="1" fillId="4" fontId="0" numFmtId="165"/>
    <xf applyAlignment="false" applyBorder="false" applyFont="true" applyProtection="false" borderId="1" fillId="0" fontId="0" numFmtId="173"/>
    <xf applyAlignment="true" applyBorder="false" applyFont="true" applyProtection="false" borderId="1" fillId="3" fontId="1" numFmtId="164">
      <alignment wrapText="1"/>
    </xf>
    <xf applyAlignment="false" applyBorder="false" applyFont="true" applyProtection="false" borderId="1" fillId="0" fontId="0" numFmtId="174"/>
    <xf applyAlignment="false" applyBorder="false" applyFont="true" applyProtection="false" borderId="1" fillId="0" fontId="0" numFmtId="175"/>
    <xf applyAlignment="false" applyBorder="false" applyFont="true" applyProtection="false" borderId="1" fillId="0" fontId="0" numFmtId="176"/>
    <xf applyAlignment="false" applyBorder="false" applyFont="true" applyProtection="false" borderId="1" fillId="0" fontId="0" numFmtId="177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
            Type="http://schemas.openxmlformats.org/officeDocument/2006/relationships/worksheet" Target="worksheets/sheet1.xml"/><Relationship Id="rId3" 
            Type="http://schemas.openxmlformats.org/officeDocument/2006/relationships/worksheet" Target="worksheets/sheet2.xml"/><Relationship Id="rId4" 
            Type="http://schemas.openxmlformats.org/officeDocument/2006/relationships/worksheet" Target="worksheets/sheet3.xml"/><Relationship Id="rId5" 
            Type="http://schemas.openxmlformats.org/officeDocument/2006/relationships/worksheet" Target="worksheets/sheet4.xml"/><Relationship Id="rId6" 
            Type="http://schemas.openxmlformats.org/officeDocument/2006/relationships/worksheet" Target="worksheets/sheet5.xml"/><Relationship Id="rId7" 
            Type="http://schemas.openxmlformats.org/officeDocument/2006/relationships/worksheet" Target="worksheets/sheet6.xml"/><Relationship Id="rId8" 
            Type="http://schemas.openxmlformats.org/officeDocument/2006/relationships/worksheet" Target="worksheets/sheet7.xml"/><Relationship Id="rId9" 
            Type="http://schemas.openxmlformats.org/officeDocument/2006/relationships/worksheet" Target="worksheets/sheet8.xml"/><Relationship Id="rId10" 
            Type="http://schemas.openxmlformats.org/officeDocument/2006/relationships/worksheet" Target="worksheets/sheet9.xml"/><Relationship Id="rId11" 
           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20" customWidth="1"/>
    <col min="2" max="2" width="10" customWidth="1"/>
    <col min="3" max="3" width="20" customWidth="1"/>
    <col min="4" max="4" width="10" customWidth="1"/>
    <col min="5" max="5" width="10" customWidth="1"/>
    <col min="6" max="6" width="10" customWidth="1"/>
    <col min="7" max="7" width="10" customWidth="1"/>
    <col min="8" max="8" width="10" customWidth="1"/>
    <col min="9" max="9" width="15" customWidth="1"/>
    <col min="10" max="10" width="15" customWidth="1"/>
    <col min="11" max="11" width="10" customWidth="1"/>
    <col min="12" max="12" width="15" customWidth="1"/>
    <col min="13" max="13" width="10" customWidth="1"/>
    <col min="14" max="14" width="10" customWidth="1"/>
    <col min="15" max="15" width="10" customWidth="1"/>
    <col min="16" max="16" width="10" customWidth="1"/>
    <col min="17" max="17" width="10" customWidth="1"/>
  </cols>
  <sheetData>
    <row collapsed="false" customFormat="false" customHeight="false" hidden="false" ht="12.1" outlineLevel="0" r="1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/>
      <c r="O1" s="18" t="s">
        <v>13</v>
      </c>
      <c r="P1" s="18" t="s">
        <v>14</v>
      </c>
      <c r="Q1" s="18" t="s">
        <v>15</v>
      </c>
    </row>
    <row collapsed="false" customFormat="false" customHeight="false" hidden="false" ht="12.1" outlineLevel="0" r="2">
      <c r="A2" s="16" t="s">
        <v>16</v>
      </c>
      <c r="B2" s="16" t="s">
        <v>17</v>
      </c>
      <c r="C2" s="16" t="s">
        <v>18</v>
      </c>
      <c r="D2" s="16" t="s">
        <v>19</v>
      </c>
      <c r="E2" s="7" t="n">
        <v>1</v>
      </c>
      <c r="F2" s="6" t="n">
        <v>3558.5</v>
      </c>
      <c r="G2" s="17" t="n">
        <v>0</v>
      </c>
      <c r="H2" s="6" t="n">
        <v>0</v>
      </c>
      <c r="I2" s="16"/>
      <c r="J2" s="6" t="s">
        <f>=E2*F2*Портфель!$Q$13</f>
      </c>
      <c r="K2" s="9" t="n">
        <v>-0.0716</v>
      </c>
      <c r="L2" s="6" t="n">
        <v>4146.64</v>
      </c>
      <c r="M2" s="17" t="n">
        <v>29.3</v>
      </c>
      <c r="N2" s="16"/>
      <c r="O2" s="16" t="s">
        <v>20</v>
      </c>
      <c r="P2" s="17" t="n">
        <v>0.214475</v>
      </c>
      <c r="Q2" s="6" t="s">
        <f>=P2/$P$13</f>
      </c>
    </row>
    <row collapsed="false" customFormat="false" customHeight="false" hidden="false" ht="12.1" outlineLevel="0" r="3">
      <c r="A3" s="16" t="s">
        <v>21</v>
      </c>
      <c r="B3" s="16" t="s">
        <v>17</v>
      </c>
      <c r="C3" s="16" t="s">
        <v>22</v>
      </c>
      <c r="D3" s="16" t="s">
        <v>19</v>
      </c>
      <c r="E3" s="7" t="n">
        <v>1</v>
      </c>
      <c r="F3" s="6" t="n">
        <v>1914.5</v>
      </c>
      <c r="G3" s="17" t="n">
        <v>0</v>
      </c>
      <c r="H3" s="6" t="n">
        <v>0</v>
      </c>
      <c r="I3" s="16"/>
      <c r="J3" s="6" t="s">
        <f>=E3*F3*Портфель!$Q$13</f>
      </c>
      <c r="K3" s="9" t="n">
        <v>-0.176</v>
      </c>
      <c r="L3" s="6" t="n">
        <v>3379.61</v>
      </c>
      <c r="M3" s="17" t="n">
        <v>15.76</v>
      </c>
      <c r="N3" s="16"/>
      <c r="O3" s="16" t="s">
        <v>23</v>
      </c>
      <c r="P3" s="17" t="n">
        <v>26.8175</v>
      </c>
      <c r="Q3" s="6" t="s">
        <f>=P3/$P$13</f>
      </c>
    </row>
    <row collapsed="false" customFormat="false" customHeight="false" hidden="false" ht="12.1" outlineLevel="0" r="4">
      <c r="A4" s="16" t="s">
        <v>24</v>
      </c>
      <c r="B4" s="16" t="s">
        <v>17</v>
      </c>
      <c r="C4" s="16" t="s">
        <v>25</v>
      </c>
      <c r="D4" s="16" t="s">
        <v>19</v>
      </c>
      <c r="E4" s="7" t="n">
        <v>1</v>
      </c>
      <c r="F4" s="6" t="n">
        <v>916.9</v>
      </c>
      <c r="G4" s="17" t="n">
        <v>0</v>
      </c>
      <c r="H4" s="6" t="n">
        <v>0</v>
      </c>
      <c r="I4" s="16"/>
      <c r="J4" s="6" t="s">
        <f>=E4*F4*Портфель!$Q$13</f>
      </c>
      <c r="K4" s="9" t="n">
        <v>-0.1847</v>
      </c>
      <c r="L4" s="6" t="n">
        <v>1297.86</v>
      </c>
      <c r="M4" s="17" t="n">
        <v>7.55</v>
      </c>
      <c r="N4" s="16"/>
      <c r="O4" s="16" t="s">
        <v>26</v>
      </c>
      <c r="P4" s="17" t="n">
        <v>53.607737927139</v>
      </c>
      <c r="Q4" s="6" t="s">
        <f>=P4/$P$13</f>
      </c>
    </row>
    <row collapsed="false" customFormat="false" customHeight="false" hidden="false" ht="12.1" outlineLevel="0" r="5">
      <c r="A5" s="16" t="s">
        <v>27</v>
      </c>
      <c r="B5" s="16" t="s">
        <v>17</v>
      </c>
      <c r="C5" s="16" t="s">
        <v>28</v>
      </c>
      <c r="D5" s="16" t="s">
        <v>19</v>
      </c>
      <c r="E5" s="7" t="n">
        <v>100</v>
      </c>
      <c r="F5" s="6" t="n">
        <v>8.355</v>
      </c>
      <c r="G5" s="17" t="n">
        <v>0</v>
      </c>
      <c r="H5" s="6" t="n">
        <v>0</v>
      </c>
      <c r="I5" s="16"/>
      <c r="J5" s="6" t="s">
        <f>=E5*F5*Портфель!$Q$13</f>
      </c>
      <c r="K5" s="9" t="n">
        <v>-0.0253</v>
      </c>
      <c r="L5" s="6" t="n">
        <v>9.46</v>
      </c>
      <c r="M5" s="17" t="n">
        <v>6.88</v>
      </c>
      <c r="N5" s="16"/>
      <c r="O5" s="16" t="s">
        <v>29</v>
      </c>
      <c r="P5" s="17" t="n">
        <v>94.1009</v>
      </c>
      <c r="Q5" s="6" t="s">
        <f>=P5/$P$13</f>
      </c>
    </row>
    <row collapsed="false" customFormat="false" customHeight="false" hidden="false" ht="12.1" outlineLevel="0" r="6">
      <c r="A6" s="16"/>
      <c r="B6" s="16"/>
      <c r="C6" s="16"/>
      <c r="D6" s="16"/>
      <c r="E6" s="7"/>
      <c r="F6" s="6"/>
      <c r="G6" s="4"/>
      <c r="H6" s="4" t="s">
        <v>30</v>
      </c>
      <c r="I6" s="4"/>
      <c r="J6" s="5" t="s">
        <f>=SUM(J2:J5)</f>
      </c>
      <c r="K6" s="4"/>
      <c r="L6" s="4"/>
      <c r="M6" s="10" t="s">
        <f>=J6/J13</f>
      </c>
      <c r="N6" s="16"/>
      <c r="O6" s="16" t="s">
        <v>31</v>
      </c>
      <c r="P6" s="17" t="n">
        <v>11.1616</v>
      </c>
      <c r="Q6" s="6" t="s">
        <f>=P6/$P$13</f>
      </c>
    </row>
    <row collapsed="false" customFormat="false" customHeight="false" hidden="false" ht="12.1" outlineLevel="0" r="7">
      <c r="A7" s="16" t="s">
        <v>32</v>
      </c>
      <c r="B7" s="16" t="s">
        <v>33</v>
      </c>
      <c r="C7" s="16" t="s">
        <v>34</v>
      </c>
      <c r="D7" s="16" t="s">
        <v>19</v>
      </c>
      <c r="E7" s="7" t="n">
        <v>195</v>
      </c>
      <c r="F7" s="6" t="n">
        <v>18.926</v>
      </c>
      <c r="G7" s="17" t="n">
        <v>0</v>
      </c>
      <c r="H7" s="6" t="n">
        <v>0</v>
      </c>
      <c r="I7" s="16"/>
      <c r="J7" s="6" t="s">
        <f>=E7*F7*Портфель!$Q$13</f>
      </c>
      <c r="K7" s="9" t="n">
        <v>0.1849</v>
      </c>
      <c r="L7" s="6" t="n">
        <v>15.34</v>
      </c>
      <c r="M7" s="17" t="n">
        <v>30.39</v>
      </c>
      <c r="N7" s="16"/>
      <c r="O7" s="16" t="s">
        <v>35</v>
      </c>
      <c r="P7" s="17" t="n">
        <v>86.5906</v>
      </c>
      <c r="Q7" s="6" t="s">
        <f>=P7/$P$13</f>
      </c>
    </row>
    <row collapsed="false" customFormat="false" customHeight="false" hidden="false" ht="12.1" outlineLevel="0" r="8">
      <c r="A8" s="16"/>
      <c r="B8" s="16"/>
      <c r="C8" s="16"/>
      <c r="D8" s="16"/>
      <c r="E8" s="7"/>
      <c r="F8" s="6"/>
      <c r="G8" s="4"/>
      <c r="H8" s="4" t="s">
        <v>36</v>
      </c>
      <c r="I8" s="4"/>
      <c r="J8" s="5" t="s">
        <f>=SUM(J7:J7)</f>
      </c>
      <c r="K8" s="4"/>
      <c r="L8" s="4"/>
      <c r="M8" s="10" t="s">
        <f>=J8/J13</f>
      </c>
      <c r="N8" s="16"/>
      <c r="O8" s="16" t="s">
        <v>37</v>
      </c>
      <c r="P8" s="17" t="n">
        <v>101.5412</v>
      </c>
      <c r="Q8" s="6" t="s">
        <f>=P8/$P$13</f>
      </c>
    </row>
    <row collapsed="false" customFormat="false" customHeight="false" hidden="false" ht="12.1" outlineLevel="0" r="9">
      <c r="A9" s="16" t="s">
        <v>38</v>
      </c>
      <c r="B9" s="16" t="s">
        <v>39</v>
      </c>
      <c r="C9" s="16" t="s">
        <v>40</v>
      </c>
      <c r="D9" s="16" t="s">
        <v>19</v>
      </c>
      <c r="E9" s="7" t="n">
        <v>1</v>
      </c>
      <c r="F9" s="6" t="n">
        <v>100.8</v>
      </c>
      <c r="G9" s="17" t="n">
        <v>1000</v>
      </c>
      <c r="H9" s="6" t="n">
        <v>12.31</v>
      </c>
      <c r="I9" s="16" t="s">
        <v>41</v>
      </c>
      <c r="J9" s="6" t="s">
        <f>=E9*((F9/100*G9)*Портфель!$Q$13 + H9*Портфель!$Q$13) </f>
      </c>
      <c r="K9" s="9" t="n">
        <v>0.1859</v>
      </c>
      <c r="L9" s="6" t="n">
        <v>1001</v>
      </c>
      <c r="M9" s="17" t="n">
        <v>8.4</v>
      </c>
      <c r="N9" s="16"/>
      <c r="O9" s="16" t="s">
        <v>42</v>
      </c>
      <c r="P9" s="17" t="n">
        <v>10091</v>
      </c>
      <c r="Q9" s="6" t="s">
        <f>=P9/$P$13</f>
      </c>
    </row>
    <row collapsed="false" customFormat="false" customHeight="false" hidden="false" ht="12.1" outlineLevel="0" r="10">
      <c r="A10" s="16"/>
      <c r="B10" s="16"/>
      <c r="C10" s="16"/>
      <c r="D10" s="16"/>
      <c r="E10" s="7"/>
      <c r="F10" s="6"/>
      <c r="G10" s="4"/>
      <c r="H10" s="4" t="s">
        <v>43</v>
      </c>
      <c r="I10" s="4"/>
      <c r="J10" s="5" t="s">
        <f>=SUM(J9:J9)</f>
      </c>
      <c r="K10" s="4"/>
      <c r="L10" s="4"/>
      <c r="M10" s="10" t="s">
        <f>=J10/J13</f>
      </c>
      <c r="N10" s="16"/>
      <c r="O10" s="16" t="s">
        <v>44</v>
      </c>
      <c r="P10" s="17" t="n">
        <v>9.6887</v>
      </c>
      <c r="Q10" s="6" t="s">
        <f>=P10/$P$13</f>
      </c>
    </row>
    <row collapsed="false" customFormat="false" customHeight="false" hidden="false" ht="12.1" outlineLevel="0" r="11">
      <c r="A11" s="16" t="s">
        <v>19</v>
      </c>
      <c r="B11" s="16" t="s">
        <v>3</v>
      </c>
      <c r="C11" s="16" t="s">
        <v>45</v>
      </c>
      <c r="D11" s="16" t="s">
        <v>19</v>
      </c>
      <c r="E11" s="7" t="n">
        <v>208.43</v>
      </c>
      <c r="F11" s="6" t="n">
        <v>1</v>
      </c>
      <c r="G11" s="17" t="n">
        <v>0</v>
      </c>
      <c r="H11" s="6" t="n">
        <v>0</v>
      </c>
      <c r="I11" s="16"/>
      <c r="J11" s="6" t="s">
        <f>=E11*F11</f>
      </c>
      <c r="K11" s="17"/>
      <c r="L11" s="6"/>
      <c r="M11" s="17"/>
      <c r="N11" s="16"/>
      <c r="O11" s="16" t="s">
        <v>46</v>
      </c>
      <c r="P11" s="17" t="n">
        <v>0.44</v>
      </c>
      <c r="Q11" s="6" t="s">
        <f>=P11/$P$13</f>
      </c>
    </row>
    <row collapsed="false" customFormat="false" customHeight="false" hidden="false" ht="12.1" outlineLevel="0" r="12">
      <c r="A12" s="16"/>
      <c r="B12" s="16"/>
      <c r="C12" s="16"/>
      <c r="D12" s="16"/>
      <c r="E12" s="7"/>
      <c r="F12" s="6"/>
      <c r="G12" s="4"/>
      <c r="H12" s="4" t="s">
        <v>47</v>
      </c>
      <c r="I12" s="4"/>
      <c r="J12" s="5" t="s">
        <f>=SUM(J11:J11)</f>
      </c>
      <c r="K12" s="4"/>
      <c r="L12" s="4"/>
      <c r="M12" s="10" t="s">
        <f>=J12/J13</f>
      </c>
      <c r="N12" s="16"/>
      <c r="O12" s="16" t="s">
        <v>48</v>
      </c>
      <c r="P12" s="17" t="n">
        <v>0.1655</v>
      </c>
      <c r="Q12" s="6" t="s">
        <f>=P12/$P$13</f>
      </c>
    </row>
    <row collapsed="false" customFormat="false" customHeight="false" hidden="false" ht="12.1" outlineLevel="0" r="13">
      <c r="A13" s="16"/>
      <c r="B13" s="16"/>
      <c r="C13" s="16"/>
      <c r="D13" s="16"/>
      <c r="E13" s="7"/>
      <c r="F13" s="6"/>
      <c r="G13" s="4"/>
      <c r="H13" s="4" t="s">
        <v>49</v>
      </c>
      <c r="I13" s="4"/>
      <c r="J13" s="5" t="s">
        <f>=J6+J8+J10+J12</f>
      </c>
      <c r="K13" s="17"/>
      <c r="L13" s="6"/>
      <c r="M13" s="17"/>
      <c r="N13" s="16"/>
      <c r="O13" s="16" t="s">
        <v>19</v>
      </c>
      <c r="P13" s="17" t="n">
        <v>1</v>
      </c>
      <c r="Q13" s="6" t="s">
        <f>=P13/$P$13</f>
      </c>
    </row>
    <row collapsed="false" customFormat="false" customHeight="false" hidden="false" ht="12.1" outlineLevel="0" r="14">
      <c r="A14" s="16"/>
      <c r="B14" s="16"/>
      <c r="C14" s="16"/>
      <c r="D14" s="16"/>
      <c r="E14" s="7"/>
      <c r="F14" s="6"/>
      <c r="G14" s="17"/>
      <c r="H14" s="6"/>
      <c r="I14" s="16"/>
      <c r="J14" s="6"/>
      <c r="K14" s="17"/>
      <c r="L14" s="6"/>
      <c r="M14" s="17"/>
      <c r="N14" s="16"/>
      <c r="O14" s="16" t="s">
        <v>50</v>
      </c>
      <c r="P14" s="17" t="n">
        <v>146</v>
      </c>
      <c r="Q14" s="6" t="s">
        <f>=P14/$P$13</f>
      </c>
    </row>
    <row collapsed="false" customFormat="false" customHeight="false" hidden="false" ht="12.1" outlineLevel="0" r="15">
      <c r="A15" s="16"/>
      <c r="B15" s="16"/>
      <c r="C15" s="16"/>
      <c r="D15" s="16"/>
      <c r="E15" s="7"/>
      <c r="F15" s="6"/>
      <c r="G15" s="17"/>
      <c r="H15" s="6"/>
      <c r="I15" s="16"/>
      <c r="J15" s="6"/>
      <c r="K15" s="17"/>
      <c r="L15" s="6"/>
      <c r="M15" s="17"/>
      <c r="N15" s="16"/>
      <c r="O15" s="16" t="s">
        <v>51</v>
      </c>
      <c r="P15" s="17" t="n">
        <v>1.567</v>
      </c>
      <c r="Q15" s="6" t="s">
        <f>=P15/$P$13</f>
      </c>
    </row>
    <row collapsed="false" customFormat="false" customHeight="false" hidden="false" ht="12.1" outlineLevel="0" r="16">
      <c r="A16" s="16"/>
      <c r="B16" s="16"/>
      <c r="C16" s="16"/>
      <c r="D16" s="16"/>
      <c r="E16" s="7"/>
      <c r="F16" s="6"/>
      <c r="G16" s="17"/>
      <c r="H16" s="6"/>
      <c r="I16" s="16"/>
      <c r="J16" s="6"/>
      <c r="K16" s="17"/>
      <c r="L16" s="6"/>
      <c r="M16" s="17"/>
      <c r="N16" s="16"/>
      <c r="O16" s="16" t="s">
        <v>52</v>
      </c>
      <c r="P16" s="17" t="n">
        <v>2.11125</v>
      </c>
      <c r="Q16" s="6" t="s">
        <f>=P16/$P$13</f>
      </c>
    </row>
    <row collapsed="false" customFormat="false" customHeight="false" hidden="false" ht="12.1" outlineLevel="0" r="17">
      <c r="A17" s="16"/>
      <c r="B17" s="16"/>
      <c r="C17" s="16"/>
      <c r="D17" s="16"/>
      <c r="E17" s="7"/>
      <c r="F17" s="6"/>
      <c r="G17" s="17"/>
      <c r="H17" s="6"/>
      <c r="I17" s="16"/>
      <c r="J17" s="6"/>
      <c r="K17" s="17"/>
      <c r="L17" s="6"/>
      <c r="M17" s="17"/>
      <c r="N17" s="16"/>
      <c r="O17" s="16" t="s">
        <v>53</v>
      </c>
      <c r="P17" s="17" t="n">
        <v>75.93</v>
      </c>
      <c r="Q17" s="6" t="s">
        <f>=P17/$P$13</f>
      </c>
    </row>
  </sheetData>
  <mergeCells>
    <mergeCell ref="H6:I6"/>
    <mergeCell ref="H8:I8"/>
    <mergeCell ref="H10:I10"/>
    <mergeCell ref="H12:I1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3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60" customWidth="1"/>
    <col min="4" max="4" width="10" customWidth="1"/>
    <col min="5" max="5" width="10" customWidth="1"/>
    <col min="6" max="6" width="10" customWidth="1"/>
    <col min="7" max="7" width="15" customWidth="1"/>
    <col min="8" max="8" width="15" customWidth="1"/>
  </cols>
  <sheetData>
    <row collapsed="false" customFormat="false" customHeight="false" hidden="false" ht="12.1" outlineLevel="0" r="1">
      <c r="A1" s="18" t="s">
        <v>54</v>
      </c>
      <c r="B1" s="18" t="s">
        <v>9</v>
      </c>
      <c r="C1" s="18" t="s">
        <v>55</v>
      </c>
      <c r="D1" s="18" t="s">
        <v>56</v>
      </c>
      <c r="E1" s="18" t="s">
        <v>57</v>
      </c>
      <c r="F1" s="18" t="s">
        <v>58</v>
      </c>
      <c r="G1" s="18" t="s">
        <v>59</v>
      </c>
      <c r="H1" s="18" t="s">
        <v>60</v>
      </c>
    </row>
    <row collapsed="false" customFormat="false" customHeight="false" hidden="false" ht="12.1" outlineLevel="0" r="2">
      <c r="A2" s="13" t="n">
        <v>45749</v>
      </c>
      <c r="B2" s="6" t="n">
        <v>3000</v>
      </c>
      <c r="C2" s="16" t="s">
        <v>61</v>
      </c>
      <c r="D2" s="16"/>
      <c r="E2" s="16"/>
      <c r="F2" s="7" t="n">
        <v>0</v>
      </c>
      <c r="G2" s="6" t="s">
        <f>=B2</f>
      </c>
      <c r="H2" s="6" t="n">
        <v>0</v>
      </c>
    </row>
    <row collapsed="false" customFormat="false" customHeight="false" hidden="false" ht="12.1" outlineLevel="0" r="3">
      <c r="A3" s="13" t="n">
        <v>45762</v>
      </c>
      <c r="B3" s="6" t="n">
        <v>5200</v>
      </c>
      <c r="C3" s="16" t="s">
        <v>61</v>
      </c>
      <c r="D3" s="16"/>
      <c r="E3" s="16"/>
      <c r="F3" s="6" t="s">
        <f>=A3-A2</f>
      </c>
      <c r="G3" s="6" t="s">
        <f>=B3+G2</f>
      </c>
      <c r="H3" s="6" t="s">
        <f>=F3*G2</f>
      </c>
    </row>
    <row collapsed="false" customFormat="false" customHeight="false" hidden="false" ht="12.1" outlineLevel="0" r="4">
      <c r="A4" s="13" t="n">
        <v>45768</v>
      </c>
      <c r="B4" s="6" t="n">
        <v>3400</v>
      </c>
      <c r="C4" s="16" t="s">
        <v>61</v>
      </c>
      <c r="D4" s="16"/>
      <c r="E4" s="16"/>
      <c r="F4" s="6" t="s">
        <f>=A4-A3</f>
      </c>
      <c r="G4" s="6" t="s">
        <f>=B4+G3</f>
      </c>
      <c r="H4" s="6" t="s">
        <f>=F4*G3</f>
      </c>
    </row>
    <row collapsed="false" customFormat="false" customHeight="false" hidden="false" ht="12.1" outlineLevel="0" r="5">
      <c r="A5" s="13" t="n">
        <v>45770</v>
      </c>
      <c r="B5" s="6" t="n">
        <v>1000</v>
      </c>
      <c r="C5" s="16" t="s">
        <v>61</v>
      </c>
      <c r="D5" s="16"/>
      <c r="E5" s="16"/>
      <c r="F5" s="6" t="s">
        <f>=A5-A4</f>
      </c>
      <c r="G5" s="6" t="s">
        <f>=B5+G4</f>
      </c>
      <c r="H5" s="6" t="s">
        <f>=F5*G4</f>
      </c>
    </row>
    <row collapsed="false" customFormat="false" customHeight="false" hidden="false" ht="12.1" outlineLevel="0" r="6">
      <c r="A6" s="13" t="n">
        <v>45772</v>
      </c>
      <c r="B6" s="6" t="n">
        <v>1300</v>
      </c>
      <c r="C6" s="16" t="s">
        <v>61</v>
      </c>
      <c r="D6" s="16"/>
      <c r="E6" s="16"/>
      <c r="F6" s="6" t="s">
        <f>=A6-A5</f>
      </c>
      <c r="G6" s="6" t="s">
        <f>=B6+G5</f>
      </c>
      <c r="H6" s="6" t="s">
        <f>=F6*G5</f>
      </c>
    </row>
    <row collapsed="false" customFormat="false" customHeight="false" hidden="false" ht="12.1" outlineLevel="0" r="7">
      <c r="A7" s="13" t="n">
        <v>45775</v>
      </c>
      <c r="B7" s="6" t="n">
        <v>-70</v>
      </c>
      <c r="C7" s="16" t="s">
        <v>62</v>
      </c>
      <c r="D7" s="16"/>
      <c r="E7" s="16"/>
      <c r="F7" s="6" t="s">
        <f>=A7-A6</f>
      </c>
      <c r="G7" s="6" t="s">
        <f>=B7+G6</f>
      </c>
      <c r="H7" s="6" t="s">
        <f>=F7*G6</f>
      </c>
    </row>
    <row collapsed="false" customFormat="false" customHeight="false" hidden="false" ht="12.1" outlineLevel="0" r="8">
      <c r="A8" s="13" t="n">
        <v>45775</v>
      </c>
      <c r="B8" s="6" t="n">
        <v>-40.65</v>
      </c>
      <c r="C8" s="16" t="s">
        <v>63</v>
      </c>
      <c r="D8" s="16"/>
      <c r="E8" s="16"/>
      <c r="F8" s="6" t="s">
        <f>=A8-A7</f>
      </c>
      <c r="G8" s="6" t="s">
        <f>=B8+G7</f>
      </c>
      <c r="H8" s="6" t="s">
        <f>=F8*G7</f>
      </c>
    </row>
    <row collapsed="false" customFormat="false" customHeight="false" hidden="false" ht="12.1" outlineLevel="0" r="9">
      <c r="A9" s="13" t="n">
        <v>45777</v>
      </c>
      <c r="B9" s="6" t="n">
        <v>70</v>
      </c>
      <c r="C9" s="16" t="s">
        <v>64</v>
      </c>
      <c r="D9" s="16"/>
      <c r="E9" s="16"/>
      <c r="F9" s="6" t="s">
        <f>=A9-A8</f>
      </c>
      <c r="G9" s="6" t="s">
        <f>=B9+G8</f>
      </c>
      <c r="H9" s="6" t="s">
        <f>=F9*G8</f>
      </c>
    </row>
    <row collapsed="false" customFormat="false" customHeight="false" hidden="false" ht="12.1" outlineLevel="0" r="10">
      <c r="A10" s="13" t="n">
        <v>45798</v>
      </c>
      <c r="B10" s="6" t="n">
        <v>-16.66</v>
      </c>
      <c r="C10" s="16" t="s">
        <v>65</v>
      </c>
      <c r="D10" s="16"/>
      <c r="E10" s="16"/>
      <c r="F10" s="6" t="s">
        <f>=A10-A9</f>
      </c>
      <c r="G10" s="6" t="s">
        <f>=B10+G9</f>
      </c>
      <c r="H10" s="6" t="s">
        <f>=F10*G9</f>
      </c>
    </row>
    <row collapsed="false" customFormat="false" customHeight="false" hidden="false" ht="12.1" outlineLevel="0" r="11">
      <c r="A11" s="13" t="n">
        <v>45828</v>
      </c>
      <c r="B11" s="6" t="n">
        <v>-16.47</v>
      </c>
      <c r="C11" s="16" t="s">
        <v>66</v>
      </c>
      <c r="D11" s="16"/>
      <c r="E11" s="16"/>
      <c r="F11" s="6" t="s">
        <f>=A11-A10</f>
      </c>
      <c r="G11" s="6" t="s">
        <f>=B11+G10</f>
      </c>
      <c r="H11" s="6" t="s">
        <f>=F11*G10</f>
      </c>
    </row>
    <row collapsed="false" customFormat="false" customHeight="false" hidden="false" ht="12.1" outlineLevel="0" r="12">
      <c r="A12" s="13" t="n">
        <v>45847</v>
      </c>
      <c r="B12" s="6" t="n">
        <v>-564</v>
      </c>
      <c r="C12" s="16" t="s">
        <v>67</v>
      </c>
      <c r="D12" s="16"/>
      <c r="E12" s="16"/>
      <c r="F12" s="6" t="s">
        <f>=A12-A11</f>
      </c>
      <c r="G12" s="6" t="s">
        <f>=B12+G11</f>
      </c>
      <c r="H12" s="6" t="s">
        <f>=F12*G11</f>
      </c>
    </row>
    <row collapsed="false" customFormat="false" customHeight="false" hidden="false" ht="12.1" outlineLevel="0" r="13">
      <c r="A13" s="13" t="n">
        <v>45852</v>
      </c>
      <c r="B13" s="6" t="n">
        <v>-83.73</v>
      </c>
      <c r="C13" s="16" t="s">
        <v>68</v>
      </c>
      <c r="D13" s="16"/>
      <c r="E13" s="16"/>
      <c r="F13" s="6" t="s">
        <f>=A13-A12</f>
      </c>
      <c r="G13" s="6" t="s">
        <f>=B13+G12</f>
      </c>
      <c r="H13" s="6" t="s">
        <f>=F13*G12</f>
      </c>
    </row>
    <row collapsed="false" customFormat="false" customHeight="false" hidden="false" ht="12.1" outlineLevel="0" r="14">
      <c r="A14" s="13" t="n">
        <v>45858</v>
      </c>
      <c r="B14" s="6" t="n">
        <v>-15.84</v>
      </c>
      <c r="C14" s="16" t="s">
        <v>69</v>
      </c>
      <c r="D14" s="16"/>
      <c r="E14" s="16"/>
      <c r="F14" s="6" t="s">
        <f>=A14-A13</f>
      </c>
      <c r="G14" s="6" t="s">
        <f>=B14+G13</f>
      </c>
      <c r="H14" s="6" t="s">
        <f>=F14*G13</f>
      </c>
    </row>
    <row collapsed="false" customFormat="false" customHeight="false" hidden="false" ht="12.1" outlineLevel="0" r="15">
      <c r="A15" s="13" t="n">
        <v>45888</v>
      </c>
      <c r="B15" s="6" t="n">
        <v>-14.85</v>
      </c>
      <c r="C15" s="16" t="s">
        <v>70</v>
      </c>
      <c r="D15" s="16"/>
      <c r="E15" s="16"/>
      <c r="F15" s="6" t="s">
        <f>=A15-A14</f>
      </c>
      <c r="G15" s="6" t="s">
        <f>=B15+G14</f>
      </c>
      <c r="H15" s="6" t="s">
        <f>=F15*G14</f>
      </c>
    </row>
    <row collapsed="false" customFormat="false" customHeight="false" hidden="false" ht="12.1" outlineLevel="0" r="16">
      <c r="A16" s="13" t="n">
        <v>45918</v>
      </c>
      <c r="B16" s="6" t="n">
        <v>-14.19</v>
      </c>
      <c r="C16" s="16" t="s">
        <v>71</v>
      </c>
      <c r="D16" s="16"/>
      <c r="E16" s="16"/>
      <c r="F16" s="6" t="s">
        <f>=A16-A15</f>
      </c>
      <c r="G16" s="6" t="s">
        <f>=B16+G15</f>
      </c>
      <c r="H16" s="6" t="s">
        <f>=F16*G15</f>
      </c>
    </row>
    <row collapsed="false" customFormat="false" customHeight="false" hidden="false" ht="12.1" outlineLevel="0" r="17">
      <c r="A17" s="13" t="n">
        <v>45929</v>
      </c>
      <c r="B17" s="6" t="n">
        <v>-70</v>
      </c>
      <c r="C17" s="16" t="s">
        <v>62</v>
      </c>
      <c r="D17" s="16"/>
      <c r="E17" s="16"/>
      <c r="F17" s="6" t="s">
        <f>=A17-A16</f>
      </c>
      <c r="G17" s="6" t="s">
        <f>=B17+G16</f>
      </c>
      <c r="H17" s="6" t="s">
        <f>=F17*G16</f>
      </c>
    </row>
    <row collapsed="false" customFormat="false" customHeight="false" hidden="false" ht="12.1" outlineLevel="0" r="18">
      <c r="A18" s="13" t="n">
        <v>45936</v>
      </c>
      <c r="B18" s="6" t="n">
        <v>-30.5</v>
      </c>
      <c r="C18" s="16" t="s">
        <v>72</v>
      </c>
      <c r="D18" s="16"/>
      <c r="E18" s="16"/>
      <c r="F18" s="6" t="s">
        <f>=A18-A17</f>
      </c>
      <c r="G18" s="6" t="s">
        <f>=B18+G17</f>
      </c>
      <c r="H18" s="6" t="s">
        <f>=F18*G17</f>
      </c>
    </row>
    <row collapsed="false" customFormat="false" customHeight="false" hidden="false" ht="12.1" outlineLevel="0" r="19">
      <c r="A19" s="13" t="n">
        <v>45948</v>
      </c>
      <c r="B19" s="6" t="n">
        <v>-13.4</v>
      </c>
      <c r="C19" s="16" t="s">
        <v>73</v>
      </c>
      <c r="D19" s="16"/>
      <c r="E19" s="16"/>
      <c r="F19" s="6" t="s">
        <f>=A19-A18</f>
      </c>
      <c r="G19" s="6" t="s">
        <f>=B19+G18</f>
      </c>
      <c r="H19" s="6" t="s">
        <f>=F19*G18</f>
      </c>
    </row>
    <row collapsed="false" customFormat="false" customHeight="false" hidden="false" ht="12.1" outlineLevel="0" r="20">
      <c r="A20" s="13" t="n">
        <v>45978</v>
      </c>
      <c r="B20" s="6" t="n">
        <v>-13.14</v>
      </c>
      <c r="C20" s="16" t="s">
        <v>74</v>
      </c>
      <c r="D20" s="16"/>
      <c r="E20" s="16"/>
      <c r="F20" s="6" t="s">
        <f>=A20-A19</f>
      </c>
      <c r="G20" s="6" t="s">
        <f>=B20+G19</f>
      </c>
      <c r="H20" s="6" t="s">
        <f>=F20*G19</f>
      </c>
    </row>
    <row collapsed="false" customFormat="false" customHeight="false" hidden="false" ht="12.1" outlineLevel="0" r="21">
      <c r="A21" s="13" t="n">
        <v>46008</v>
      </c>
      <c r="B21" s="6" t="n">
        <v>-12.96</v>
      </c>
      <c r="C21" s="16" t="s">
        <v>75</v>
      </c>
      <c r="D21" s="16"/>
      <c r="E21" s="16"/>
      <c r="F21" s="6" t="s">
        <f>=A21-A20</f>
      </c>
      <c r="G21" s="6" t="s">
        <f>=B21+G20</f>
      </c>
      <c r="H21" s="6" t="s">
        <f>=F21*G20</f>
      </c>
    </row>
    <row collapsed="false" customFormat="false" customHeight="false" hidden="false" ht="12.1" outlineLevel="0" r="22">
      <c r="A22" s="13" t="n">
        <v>46028</v>
      </c>
      <c r="B22" s="6" t="n">
        <v>-320</v>
      </c>
      <c r="C22" s="16" t="s">
        <v>76</v>
      </c>
      <c r="D22" s="16"/>
      <c r="E22" s="16"/>
      <c r="F22" s="6" t="s">
        <f>=A22-A21</f>
      </c>
      <c r="G22" s="6" t="s">
        <f>=B22+G21</f>
      </c>
      <c r="H22" s="6" t="s">
        <f>=F22*G21</f>
      </c>
    </row>
    <row collapsed="false" customFormat="false" customHeight="false" hidden="false" ht="12.1" outlineLevel="0" r="23">
      <c r="A23" s="13" t="n">
        <v>46038</v>
      </c>
      <c r="B23" s="6" t="n">
        <v>-12.67</v>
      </c>
      <c r="C23" s="16" t="s">
        <v>77</v>
      </c>
      <c r="D23" s="16"/>
      <c r="E23" s="16"/>
      <c r="F23" s="6" t="s">
        <f>=A23-A22</f>
      </c>
      <c r="G23" s="6" t="s">
        <f>=B23+G22</f>
      </c>
      <c r="H23" s="6" t="s">
        <f>=F23*G22</f>
      </c>
    </row>
    <row collapsed="false" customFormat="false" customHeight="false" hidden="false" ht="12.1" outlineLevel="0" r="24">
      <c r="A24" s="13" t="n">
        <v>46068</v>
      </c>
      <c r="B24" s="6" t="n">
        <v>-12.55</v>
      </c>
      <c r="C24" s="16" t="s">
        <v>78</v>
      </c>
      <c r="D24" s="16"/>
      <c r="E24" s="16"/>
      <c r="F24" s="6" t="s">
        <f>=A24-A23</f>
      </c>
      <c r="G24" s="6" t="s">
        <f>=B24+G23</f>
      </c>
      <c r="H24" s="6" t="s">
        <f>=F24*G23</f>
      </c>
    </row>
    <row collapsed="false" customFormat="false" customHeight="false" hidden="false" ht="12.1" outlineLevel="0" r="25">
      <c r="A25" s="13" t="n">
        <v>46098</v>
      </c>
      <c r="B25" s="6" t="n">
        <v>-12.21</v>
      </c>
      <c r="C25" s="16" t="s">
        <v>79</v>
      </c>
      <c r="D25" s="16"/>
      <c r="E25" s="16"/>
      <c r="F25" s="6" t="s">
        <f>=A25-A24</f>
      </c>
      <c r="G25" s="6" t="s">
        <f>=B25+G24</f>
      </c>
      <c r="H25" s="6" t="s">
        <f>=F25*G24</f>
      </c>
    </row>
    <row collapsed="false" customFormat="false" customHeight="false" hidden="false" ht="12.1" outlineLevel="0" r="26">
      <c r="A26" s="13" t="n">
        <v>46125</v>
      </c>
      <c r="B26" s="6" t="n">
        <v>-41.23</v>
      </c>
      <c r="C26" s="16" t="s">
        <v>80</v>
      </c>
      <c r="D26" s="16"/>
      <c r="E26" s="16"/>
      <c r="F26" s="6" t="s">
        <f>=A26-A25</f>
      </c>
      <c r="G26" s="6" t="s">
        <f>=B26+G25</f>
      </c>
      <c r="H26" s="6" t="s">
        <f>=F26*G25</f>
      </c>
    </row>
    <row collapsed="false" customFormat="false" customHeight="false" hidden="false" ht="12.1" outlineLevel="0" r="27">
      <c r="A27" s="13" t="n">
        <v>46128</v>
      </c>
      <c r="B27" s="6" t="n">
        <v>-11.86</v>
      </c>
      <c r="C27" s="16" t="s">
        <v>81</v>
      </c>
      <c r="D27" s="16"/>
      <c r="E27" s="16"/>
      <c r="F27" s="6" t="s">
        <f>=A27-A26</f>
      </c>
      <c r="G27" s="6" t="s">
        <f>=B27+G26</f>
      </c>
      <c r="H27" s="6" t="s">
        <f>=F27*G26</f>
      </c>
    </row>
    <row collapsed="false" customFormat="false" customHeight="false" hidden="false" ht="12.1" outlineLevel="0" r="28">
      <c r="A28" s="13" t="n">
        <v>46139</v>
      </c>
      <c r="B28" s="6" t="n">
        <v>-96</v>
      </c>
      <c r="C28" s="16" t="s">
        <v>82</v>
      </c>
      <c r="D28" s="16"/>
      <c r="E28" s="16"/>
      <c r="F28" s="6" t="s">
        <f>=A28-A27</f>
      </c>
      <c r="G28" s="6" t="s">
        <f>=B28+G27</f>
      </c>
      <c r="H28" s="6" t="s">
        <f>=F28*G27</f>
      </c>
    </row>
    <row collapsed="false" customFormat="false" customHeight="false" hidden="false" ht="12.1" outlineLevel="0" r="29">
      <c r="A29" s="13" t="n">
        <v>46158</v>
      </c>
      <c r="B29" s="6" t="n">
        <v>-11.52</v>
      </c>
      <c r="C29" s="16" t="s">
        <v>83</v>
      </c>
      <c r="D29" s="16"/>
      <c r="E29" s="16"/>
      <c r="F29" s="6" t="s">
        <f>=A29-A28</f>
      </c>
      <c r="G29" s="6" t="s">
        <f>=B29+G28</f>
      </c>
      <c r="H29" s="6" t="s">
        <f>=F29*G28</f>
      </c>
    </row>
    <row collapsed="false" customFormat="false" customHeight="false" hidden="false" ht="12.1" outlineLevel="0" r="30">
      <c r="A30" s="13" t="n">
        <v>46188</v>
      </c>
      <c r="B30" s="6" t="n">
        <v>-11.32</v>
      </c>
      <c r="C30" s="16" t="s">
        <v>84</v>
      </c>
      <c r="D30" s="16"/>
      <c r="E30" s="16"/>
      <c r="F30" s="6" t="s">
        <f>=A30-A29</f>
      </c>
      <c r="G30" s="6" t="s">
        <f>=B30+G29</f>
      </c>
      <c r="H30" s="6" t="s">
        <f>=F30*G29</f>
      </c>
    </row>
    <row collapsed="false" customFormat="false" customHeight="false" hidden="false" ht="12.1" outlineLevel="0" r="31">
      <c r="A31" s="12" t="n">
        <v>46213.713553241</v>
      </c>
      <c r="B31" s="5" t="n">
        <v>-12144.71</v>
      </c>
      <c r="C31" s="14" t="s">
        <v>85</v>
      </c>
      <c r="D31" s="16"/>
      <c r="E31" s="16"/>
      <c r="F31" s="6" t="s">
        <f>=A31-A30</f>
      </c>
      <c r="G31" s="6" t="s">
        <f>=B31+G30</f>
      </c>
      <c r="H31" s="6" t="s">
        <f>=F31*G30</f>
      </c>
    </row>
    <row collapsed="false" customFormat="false" customHeight="false" hidden="false" ht="12.1" outlineLevel="0" r="32">
      <c r="A32" s="13"/>
      <c r="B32" s="9" t="s">
        <f>=XIRR(B2:B31,A2:A31)</f>
      </c>
      <c r="C32" s="16" t="s">
        <v>86</v>
      </c>
      <c r="D32" s="16"/>
      <c r="E32" s="16"/>
      <c r="F32" s="7"/>
      <c r="G32" s="2" t="s">
        <v>87</v>
      </c>
      <c r="H32" s="6" t="s">
        <f>=SUM(I2:H31)/365</f>
      </c>
    </row>
    <row collapsed="false" customFormat="false" customHeight="false" hidden="false" ht="12.1" outlineLevel="0" r="33">
      <c r="A33" s="13"/>
      <c r="B33" s="5" t="s">
        <f>=-SUM(B2:B31)</f>
      </c>
      <c r="C33" s="16" t="s">
        <v>88</v>
      </c>
      <c r="D33" s="16"/>
      <c r="E33" s="16"/>
      <c r="F33" s="7"/>
      <c r="G33" s="14" t="s">
        <v>89</v>
      </c>
      <c r="H33" s="9" t="s">
        <f>=B33/H32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R1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16</v>
      </c>
      <c r="C1" s="0"/>
      <c r="D1" s="0"/>
      <c r="E1" s="4" t="s">
        <v>21</v>
      </c>
      <c r="F1" s="0"/>
      <c r="G1" s="0"/>
      <c r="H1" s="4" t="s">
        <v>24</v>
      </c>
      <c r="I1" s="0"/>
      <c r="J1" s="0"/>
      <c r="K1" s="4" t="s">
        <v>27</v>
      </c>
      <c r="L1" s="0"/>
      <c r="M1" s="0"/>
      <c r="N1" s="4" t="s">
        <v>32</v>
      </c>
      <c r="O1" s="0"/>
      <c r="P1" s="0"/>
      <c r="Q1" s="4" t="s">
        <v>38</v>
      </c>
      <c r="R1" s="0"/>
    </row>
    <row collapsed="false" customFormat="false" customHeight="false" hidden="false" ht="12.1" outlineLevel="0" r="2">
      <c r="A2" s="11" t="n">
        <v>45762</v>
      </c>
      <c r="B2" s="6" t="n">
        <v>4146.64</v>
      </c>
      <c r="C2" s="0" t="s">
        <v>90</v>
      </c>
      <c r="D2" s="11" t="n">
        <v>45768</v>
      </c>
      <c r="E2" s="6" t="n">
        <v>3379.61</v>
      </c>
      <c r="F2" s="0" t="s">
        <v>90</v>
      </c>
      <c r="G2" s="11" t="n">
        <v>45772</v>
      </c>
      <c r="H2" s="6" t="n">
        <v>1297.86</v>
      </c>
      <c r="I2" s="0" t="s">
        <v>90</v>
      </c>
      <c r="J2" s="11" t="n">
        <v>45770</v>
      </c>
      <c r="K2" s="6" t="n">
        <v>946.11</v>
      </c>
      <c r="L2" s="0" t="s">
        <v>90</v>
      </c>
      <c r="M2" s="11" t="n">
        <v>45751</v>
      </c>
      <c r="N2" s="6" t="n">
        <v>2990.35</v>
      </c>
      <c r="O2" s="0" t="s">
        <v>90</v>
      </c>
      <c r="P2" s="11" t="n">
        <v>45768</v>
      </c>
      <c r="Q2" s="6" t="s">
        <f>=1001</f>
      </c>
      <c r="R2" s="0" t="s">
        <v>90</v>
      </c>
    </row>
    <row collapsed="false" customFormat="false" customHeight="false" hidden="false" ht="12.1" outlineLevel="0" r="3">
      <c r="A3" s="11" t="n">
        <v>45775</v>
      </c>
      <c r="B3" s="6" t="n">
        <v>-70</v>
      </c>
      <c r="C3" s="0" t="s">
        <v>62</v>
      </c>
      <c r="D3" s="11" t="n">
        <v>45847</v>
      </c>
      <c r="E3" s="6" t="n">
        <v>-564</v>
      </c>
      <c r="F3" s="0" t="s">
        <v>67</v>
      </c>
      <c r="G3" s="11" t="n">
        <v>45775</v>
      </c>
      <c r="H3" s="6" t="n">
        <v>-40.65</v>
      </c>
      <c r="I3" s="0" t="s">
        <v>63</v>
      </c>
      <c r="J3" s="11" t="n">
        <v>45852</v>
      </c>
      <c r="K3" s="6" t="n">
        <v>-83.73</v>
      </c>
      <c r="L3" s="0" t="s">
        <v>68</v>
      </c>
      <c r="M3" s="11" t="n">
        <v>46213</v>
      </c>
      <c r="N3" s="8" t="s">
        <f>=-Портфель!J7</f>
      </c>
      <c r="O3" s="0" t="s">
        <v>91</v>
      </c>
      <c r="P3" s="11" t="n">
        <v>45798</v>
      </c>
      <c r="Q3" s="6" t="s">
        <f>=-16.66</f>
      </c>
      <c r="R3" s="0" t="s">
        <v>65</v>
      </c>
    </row>
    <row collapsed="false" customFormat="false" customHeight="false" hidden="false" ht="12.1" outlineLevel="0" r="4">
      <c r="A4" s="11" t="n">
        <v>45929</v>
      </c>
      <c r="B4" s="6" t="n">
        <v>-70</v>
      </c>
      <c r="C4" s="0" t="s">
        <v>62</v>
      </c>
      <c r="D4" s="11" t="n">
        <v>46028</v>
      </c>
      <c r="E4" s="6" t="n">
        <v>-320</v>
      </c>
      <c r="F4" s="0" t="s">
        <v>76</v>
      </c>
      <c r="G4" s="11" t="n">
        <v>45936</v>
      </c>
      <c r="H4" s="6" t="n">
        <v>-30.5</v>
      </c>
      <c r="I4" s="0" t="s">
        <v>72</v>
      </c>
      <c r="J4" s="11" t="n">
        <v>46213</v>
      </c>
      <c r="K4" s="8" t="s">
        <f>=-Портфель!J5</f>
      </c>
      <c r="L4" s="0" t="s">
        <v>91</v>
      </c>
      <c r="M4" s="0"/>
      <c r="N4" s="10" t="s">
        <f>=XIRR(N2:N3,M2:M3)</f>
      </c>
      <c r="O4" s="0"/>
      <c r="P4" s="11" t="n">
        <v>45828</v>
      </c>
      <c r="Q4" s="6" t="s">
        <f>=-16.47</f>
      </c>
      <c r="R4" s="0" t="s">
        <v>66</v>
      </c>
    </row>
    <row collapsed="false" customFormat="false" customHeight="false" hidden="false" ht="12.1" outlineLevel="0" r="5">
      <c r="A5" s="11" t="n">
        <v>46139</v>
      </c>
      <c r="B5" s="6" t="n">
        <v>-96</v>
      </c>
      <c r="C5" s="0" t="s">
        <v>82</v>
      </c>
      <c r="D5" s="11" t="n">
        <v>46213</v>
      </c>
      <c r="E5" s="8" t="s">
        <f>=-Портфель!J3</f>
      </c>
      <c r="F5" s="0" t="s">
        <v>91</v>
      </c>
      <c r="G5" s="11" t="n">
        <v>46125</v>
      </c>
      <c r="H5" s="6" t="n">
        <v>-41.23</v>
      </c>
      <c r="I5" s="0" t="s">
        <v>80</v>
      </c>
      <c r="J5" s="0"/>
      <c r="K5" s="10" t="s">
        <f>=XIRR(K2:K4,J2:J4)</f>
      </c>
      <c r="L5" s="0"/>
      <c r="M5" s="0"/>
      <c r="N5" s="8" t="s">
        <f>=-SUM(N2:N3)</f>
      </c>
      <c r="O5" s="0" t="s">
        <v>92</v>
      </c>
      <c r="P5" s="11" t="n">
        <v>45858</v>
      </c>
      <c r="Q5" s="6" t="s">
        <f>=-15.84</f>
      </c>
      <c r="R5" s="0" t="s">
        <v>69</v>
      </c>
    </row>
    <row collapsed="false" customFormat="false" customHeight="false" hidden="false" ht="12.1" outlineLevel="0" r="6">
      <c r="A6" s="11" t="n">
        <v>46213</v>
      </c>
      <c r="B6" s="8" t="s">
        <f>=-Портфель!J2</f>
      </c>
      <c r="C6" s="0" t="s">
        <v>91</v>
      </c>
      <c r="D6" s="0"/>
      <c r="E6" s="10" t="s">
        <f>=XIRR(E2:E5,D2:D5)</f>
      </c>
      <c r="F6" s="0"/>
      <c r="G6" s="11" t="n">
        <v>46213</v>
      </c>
      <c r="H6" s="8" t="s">
        <f>=-Портфель!J4</f>
      </c>
      <c r="I6" s="0" t="s">
        <v>91</v>
      </c>
      <c r="J6" s="0"/>
      <c r="K6" s="8" t="s">
        <f>=-SUM(K2:K4)</f>
      </c>
      <c r="L6" s="0" t="s">
        <v>92</v>
      </c>
      <c r="M6" s="0"/>
      <c r="N6" s="0"/>
      <c r="O6" s="0"/>
      <c r="P6" s="11" t="n">
        <v>45888</v>
      </c>
      <c r="Q6" s="6" t="s">
        <f>=-14.85</f>
      </c>
      <c r="R6" s="0" t="s">
        <v>70</v>
      </c>
    </row>
    <row collapsed="false" customFormat="false" customHeight="false" hidden="false" ht="12.1" outlineLevel="0" r="7">
      <c r="A7" s="0"/>
      <c r="B7" s="10" t="s">
        <f>=XIRR(B2:B6,A2:A6)</f>
      </c>
      <c r="C7" s="0"/>
      <c r="D7" s="0"/>
      <c r="E7" s="8" t="s">
        <f>=-SUM(E2:E5)</f>
      </c>
      <c r="F7" s="0" t="s">
        <v>92</v>
      </c>
      <c r="G7" s="0"/>
      <c r="H7" s="10" t="s">
        <f>=XIRR(H2:H6,G2:G6)</f>
      </c>
      <c r="I7" s="0"/>
      <c r="J7" s="0"/>
      <c r="K7" s="0"/>
      <c r="L7" s="0"/>
      <c r="M7" s="0"/>
      <c r="N7" s="0"/>
      <c r="O7" s="0"/>
      <c r="P7" s="11" t="n">
        <v>45918</v>
      </c>
      <c r="Q7" s="6" t="s">
        <f>=-14.19</f>
      </c>
      <c r="R7" s="0" t="s">
        <v>71</v>
      </c>
    </row>
    <row collapsed="false" customFormat="false" customHeight="false" hidden="false" ht="12.1" outlineLevel="0" r="8">
      <c r="A8" s="0"/>
      <c r="B8" s="8" t="s">
        <f>=-SUM(B2:B6)</f>
      </c>
      <c r="C8" s="0" t="s">
        <v>92</v>
      </c>
      <c r="D8" s="0"/>
      <c r="E8" s="0"/>
      <c r="F8" s="0"/>
      <c r="G8" s="0"/>
      <c r="H8" s="8" t="s">
        <f>=-SUM(H2:H6)</f>
      </c>
      <c r="I8" s="0" t="s">
        <v>92</v>
      </c>
      <c r="J8" s="0"/>
      <c r="K8" s="0"/>
      <c r="L8" s="0"/>
      <c r="M8" s="0"/>
      <c r="N8" s="0"/>
      <c r="O8" s="0"/>
      <c r="P8" s="11" t="n">
        <v>45948</v>
      </c>
      <c r="Q8" s="6" t="s">
        <f>=-13.4</f>
      </c>
      <c r="R8" s="0" t="s">
        <v>73</v>
      </c>
    </row>
    <row collapsed="false" customFormat="false" customHeight="false" hidden="false" ht="12.1" outlineLevel="0" r="9">
      <c r="A9" s="0"/>
      <c r="B9" s="0"/>
      <c r="C9" s="0"/>
      <c r="D9" s="0"/>
      <c r="E9" s="0"/>
      <c r="F9" s="0"/>
      <c r="G9" s="0"/>
      <c r="H9" s="0"/>
      <c r="I9" s="0"/>
      <c r="J9" s="0"/>
      <c r="K9" s="0"/>
      <c r="L9" s="0"/>
      <c r="M9" s="0"/>
      <c r="N9" s="0"/>
      <c r="O9" s="0"/>
      <c r="P9" s="11" t="n">
        <v>45978</v>
      </c>
      <c r="Q9" s="6" t="s">
        <f>=-13.14</f>
      </c>
      <c r="R9" s="0" t="s">
        <v>74</v>
      </c>
    </row>
    <row collapsed="false" customFormat="false" customHeight="false" hidden="false" ht="12.1" outlineLevel="0" r="10">
      <c r="A10" s="0"/>
      <c r="B10" s="0"/>
      <c r="C10" s="0"/>
      <c r="D10" s="0"/>
      <c r="E10" s="0"/>
      <c r="F10" s="0"/>
      <c r="G10" s="0"/>
      <c r="H10" s="0"/>
      <c r="I10" s="0"/>
      <c r="J10" s="0"/>
      <c r="K10" s="0"/>
      <c r="L10" s="0"/>
      <c r="M10" s="0"/>
      <c r="N10" s="0"/>
      <c r="O10" s="0"/>
      <c r="P10" s="11" t="n">
        <v>46008</v>
      </c>
      <c r="Q10" s="6" t="s">
        <f>=-12.96</f>
      </c>
      <c r="R10" s="0" t="s">
        <v>75</v>
      </c>
    </row>
    <row collapsed="false" customFormat="false" customHeight="false" hidden="false" ht="12.1" outlineLevel="0" r="11">
      <c r="A11" s="0"/>
      <c r="B11" s="0"/>
      <c r="C11" s="0"/>
      <c r="D11" s="0"/>
      <c r="E11" s="0"/>
      <c r="F11" s="0"/>
      <c r="G11" s="0"/>
      <c r="H11" s="0"/>
      <c r="I11" s="0"/>
      <c r="J11" s="0"/>
      <c r="K11" s="0"/>
      <c r="L11" s="0"/>
      <c r="M11" s="0"/>
      <c r="N11" s="0"/>
      <c r="O11" s="0"/>
      <c r="P11" s="11" t="n">
        <v>46038</v>
      </c>
      <c r="Q11" s="6" t="s">
        <f>=-12.67</f>
      </c>
      <c r="R11" s="0" t="s">
        <v>77</v>
      </c>
    </row>
    <row collapsed="false" customFormat="false" customHeight="false" hidden="false" ht="12.1" outlineLevel="0" r="12">
      <c r="A12" s="0"/>
      <c r="B12" s="0"/>
      <c r="C12" s="0"/>
      <c r="D12" s="0"/>
      <c r="E12" s="0"/>
      <c r="F12" s="0"/>
      <c r="G12" s="0"/>
      <c r="H12" s="0"/>
      <c r="I12" s="0"/>
      <c r="J12" s="0"/>
      <c r="K12" s="0"/>
      <c r="L12" s="0"/>
      <c r="M12" s="0"/>
      <c r="N12" s="0"/>
      <c r="O12" s="0"/>
      <c r="P12" s="11" t="n">
        <v>46068</v>
      </c>
      <c r="Q12" s="6" t="s">
        <f>=-12.55</f>
      </c>
      <c r="R12" s="0" t="s">
        <v>78</v>
      </c>
    </row>
    <row collapsed="false" customFormat="false" customHeight="false" hidden="false" ht="12.1" outlineLevel="0" r="13">
      <c r="A13" s="0"/>
      <c r="B13" s="0"/>
      <c r="C13" s="0"/>
      <c r="D13" s="0"/>
      <c r="E13" s="0"/>
      <c r="F13" s="0"/>
      <c r="G13" s="0"/>
      <c r="H13" s="0"/>
      <c r="I13" s="0"/>
      <c r="J13" s="0"/>
      <c r="K13" s="0"/>
      <c r="L13" s="0"/>
      <c r="M13" s="0"/>
      <c r="N13" s="0"/>
      <c r="O13" s="0"/>
      <c r="P13" s="11" t="n">
        <v>46098</v>
      </c>
      <c r="Q13" s="6" t="s">
        <f>=-12.21</f>
      </c>
      <c r="R13" s="0" t="s">
        <v>79</v>
      </c>
    </row>
    <row collapsed="false" customFormat="false" customHeight="false" hidden="false" ht="12.1" outlineLevel="0" r="14">
      <c r="A14" s="0"/>
      <c r="B14" s="0"/>
      <c r="C14" s="0"/>
      <c r="D14" s="0"/>
      <c r="E14" s="0"/>
      <c r="F14" s="0"/>
      <c r="G14" s="0"/>
      <c r="H14" s="0"/>
      <c r="I14" s="0"/>
      <c r="J14" s="0"/>
      <c r="K14" s="0"/>
      <c r="L14" s="0"/>
      <c r="M14" s="0"/>
      <c r="N14" s="0"/>
      <c r="O14" s="0"/>
      <c r="P14" s="11" t="n">
        <v>46128</v>
      </c>
      <c r="Q14" s="6" t="s">
        <f>=-11.86</f>
      </c>
      <c r="R14" s="0" t="s">
        <v>81</v>
      </c>
    </row>
    <row collapsed="false" customFormat="false" customHeight="false" hidden="false" ht="12.1" outlineLevel="0" r="15">
      <c r="A15" s="0"/>
      <c r="B15" s="0"/>
      <c r="C15" s="0"/>
      <c r="D15" s="0"/>
      <c r="E15" s="0"/>
      <c r="F15" s="0"/>
      <c r="G15" s="0"/>
      <c r="H15" s="0"/>
      <c r="I15" s="0"/>
      <c r="J15" s="0"/>
      <c r="K15" s="0"/>
      <c r="L15" s="0"/>
      <c r="M15" s="0"/>
      <c r="N15" s="0"/>
      <c r="O15" s="0"/>
      <c r="P15" s="11" t="n">
        <v>46158</v>
      </c>
      <c r="Q15" s="6" t="s">
        <f>=-11.52</f>
      </c>
      <c r="R15" s="0" t="s">
        <v>83</v>
      </c>
    </row>
    <row collapsed="false" customFormat="false" customHeight="false" hidden="false" ht="12.1" outlineLevel="0" r="16">
      <c r="A16" s="0"/>
      <c r="B16" s="0"/>
      <c r="C16" s="0"/>
      <c r="D16" s="0"/>
      <c r="E16" s="0"/>
      <c r="F16" s="0"/>
      <c r="G16" s="0"/>
      <c r="H16" s="0"/>
      <c r="I16" s="0"/>
      <c r="J16" s="0"/>
      <c r="K16" s="0"/>
      <c r="L16" s="0"/>
      <c r="M16" s="0"/>
      <c r="N16" s="0"/>
      <c r="O16" s="0"/>
      <c r="P16" s="11" t="n">
        <v>46188</v>
      </c>
      <c r="Q16" s="6" t="s">
        <f>=-11.32</f>
      </c>
      <c r="R16" s="0" t="s">
        <v>84</v>
      </c>
    </row>
    <row collapsed="false" customFormat="false" customHeight="false" hidden="false" ht="12.1" outlineLevel="0" r="17">
      <c r="A17" s="0"/>
      <c r="B17" s="0"/>
      <c r="C17" s="0"/>
      <c r="D17" s="0"/>
      <c r="E17" s="0"/>
      <c r="F17" s="0"/>
      <c r="G17" s="0"/>
      <c r="H17" s="0"/>
      <c r="I17" s="0"/>
      <c r="J17" s="0"/>
      <c r="K17" s="0"/>
      <c r="L17" s="0"/>
      <c r="M17" s="0"/>
      <c r="N17" s="0"/>
      <c r="O17" s="0"/>
      <c r="P17" s="11" t="n">
        <v>46213</v>
      </c>
      <c r="Q17" s="8" t="s">
        <f>=-Портфель!J9</f>
      </c>
      <c r="R17" s="0" t="s">
        <v>91</v>
      </c>
    </row>
    <row collapsed="false" customFormat="false" customHeight="false" hidden="false" ht="12.1" outlineLevel="0" r="18">
      <c r="A18" s="0"/>
      <c r="B18" s="0"/>
      <c r="C18" s="0"/>
      <c r="D18" s="0"/>
      <c r="E18" s="0"/>
      <c r="F18" s="0"/>
      <c r="G18" s="0"/>
      <c r="H18" s="0"/>
      <c r="I18" s="0"/>
      <c r="J18" s="0"/>
      <c r="K18" s="0"/>
      <c r="L18" s="0"/>
      <c r="M18" s="0"/>
      <c r="N18" s="0"/>
      <c r="O18" s="0"/>
      <c r="P18" s="0"/>
      <c r="Q18" s="10" t="s">
        <f>=XIRR(Q2:Q17,P2:P17)</f>
      </c>
      <c r="R18" s="0"/>
    </row>
    <row collapsed="false" customFormat="false" customHeight="false" hidden="false" ht="12.1" outlineLevel="0" r="19">
      <c r="A19" s="0"/>
      <c r="B19" s="0"/>
      <c r="C19" s="0"/>
      <c r="D19" s="0"/>
      <c r="E19" s="0"/>
      <c r="F19" s="0"/>
      <c r="G19" s="0"/>
      <c r="H19" s="0"/>
      <c r="I19" s="0"/>
      <c r="J19" s="0"/>
      <c r="K19" s="0"/>
      <c r="L19" s="0"/>
      <c r="M19" s="0"/>
      <c r="N19" s="0"/>
      <c r="O19" s="0"/>
      <c r="P19" s="0"/>
      <c r="Q19" s="8" t="s">
        <f>=-SUM(Q2:Q17)</f>
      </c>
      <c r="R19" s="0" t="s">
        <v>92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R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3" t="s">
        <v>93</v>
      </c>
      <c r="C1" s="0"/>
      <c r="D1" s="0"/>
      <c r="E1" s="3" t="s">
        <v>94</v>
      </c>
      <c r="F1" s="0"/>
      <c r="G1" s="0"/>
      <c r="H1" s="3" t="s">
        <v>95</v>
      </c>
      <c r="I1" s="0"/>
      <c r="J1" s="0"/>
      <c r="K1" s="3" t="s">
        <v>96</v>
      </c>
      <c r="L1" s="0"/>
      <c r="M1" s="0"/>
      <c r="N1" s="3" t="s">
        <v>97</v>
      </c>
      <c r="O1" s="0"/>
      <c r="P1" s="0"/>
      <c r="Q1" s="3" t="s">
        <v>98</v>
      </c>
      <c r="R1" s="0"/>
    </row>
    <row collapsed="false" customFormat="false" customHeight="false" hidden="false" ht="12.1" outlineLevel="0" r="2">
      <c r="A2" s="11" t="n">
        <v>45762</v>
      </c>
      <c r="B2" s="6" t="n">
        <v>1</v>
      </c>
      <c r="C2" s="6" t="n">
        <v>4146.64</v>
      </c>
      <c r="D2" s="11" t="n">
        <v>45768</v>
      </c>
      <c r="E2" s="6" t="n">
        <v>1</v>
      </c>
      <c r="F2" s="6" t="n">
        <v>3379.61</v>
      </c>
      <c r="G2" s="11" t="n">
        <v>45772</v>
      </c>
      <c r="H2" s="6" t="n">
        <v>1</v>
      </c>
      <c r="I2" s="6" t="n">
        <v>1297.86</v>
      </c>
      <c r="J2" s="11" t="n">
        <v>45770</v>
      </c>
      <c r="K2" s="6" t="n">
        <v>100</v>
      </c>
      <c r="L2" s="6" t="n">
        <v>946.11</v>
      </c>
      <c r="M2" s="11" t="n">
        <v>45751</v>
      </c>
      <c r="N2" s="6" t="n">
        <v>195</v>
      </c>
      <c r="O2" s="6" t="n">
        <v>2990.35</v>
      </c>
      <c r="P2" s="11" t="n">
        <v>45768</v>
      </c>
      <c r="Q2" s="6" t="n">
        <v>1</v>
      </c>
      <c r="R2" s="6" t="n">
        <v>1001</v>
      </c>
    </row>
    <row collapsed="false" customFormat="false" customHeight="false" hidden="false" ht="12.1" outlineLevel="0" r="3">
      <c r="A3" s="0"/>
      <c r="B3" s="5" t="s">
        <f>=SUM(C2:C2)/SUM(B2:B2)</f>
      </c>
      <c r="C3" s="0" t="s">
        <v>11</v>
      </c>
      <c r="D3" s="0"/>
      <c r="E3" s="5" t="s">
        <f>=SUM(F2:F2)/SUM(E2:E2)</f>
      </c>
      <c r="F3" s="0" t="s">
        <v>11</v>
      </c>
      <c r="G3" s="0"/>
      <c r="H3" s="5" t="s">
        <f>=SUM(I2:I2)/SUM(H2:H2)</f>
      </c>
      <c r="I3" s="0" t="s">
        <v>11</v>
      </c>
      <c r="J3" s="0"/>
      <c r="K3" s="5" t="s">
        <f>=SUM(L2:L2)/SUM(K2:K2)</f>
      </c>
      <c r="L3" s="0" t="s">
        <v>11</v>
      </c>
      <c r="M3" s="0"/>
      <c r="N3" s="5" t="s">
        <f>=SUM(O2:O2)/SUM(N2:N2)</f>
      </c>
      <c r="O3" s="0" t="s">
        <v>11</v>
      </c>
      <c r="P3" s="0"/>
      <c r="Q3" s="5" t="s">
        <f>=SUM(R2:R2)/SUM(Q2:Q2)</f>
      </c>
      <c r="R3" s="0" t="s">
        <v>11</v>
      </c>
    </row>
    <row collapsed="false" customFormat="false" customHeight="false" hidden="false" ht="12.1" outlineLevel="0" r="4">
      <c r="A4" s="0"/>
      <c r="B4" s="6" t="n">
        <v>3558.5</v>
      </c>
      <c r="C4" s="0" t="s">
        <v>99</v>
      </c>
      <c r="D4" s="0"/>
      <c r="E4" s="6" t="n">
        <v>1914.5</v>
      </c>
      <c r="F4" s="0" t="s">
        <v>99</v>
      </c>
      <c r="G4" s="0"/>
      <c r="H4" s="6" t="n">
        <v>916.9</v>
      </c>
      <c r="I4" s="0" t="s">
        <v>99</v>
      </c>
      <c r="J4" s="0"/>
      <c r="K4" s="6" t="n">
        <v>8.355</v>
      </c>
      <c r="L4" s="0" t="s">
        <v>99</v>
      </c>
      <c r="M4" s="0"/>
      <c r="N4" s="6" t="n">
        <v>18.926</v>
      </c>
      <c r="O4" s="0" t="s">
        <v>99</v>
      </c>
      <c r="P4" s="0"/>
      <c r="Q4" s="6" t="n">
        <v>100.8</v>
      </c>
      <c r="R4" s="0" t="s">
        <v>99</v>
      </c>
    </row>
    <row collapsed="false" customFormat="false" customHeight="false" hidden="false" ht="12.1" outlineLevel="0" r="5">
      <c r="A5" s="0"/>
      <c r="B5" s="6" t="n">
        <v>1</v>
      </c>
      <c r="C5" s="0" t="s">
        <v>100</v>
      </c>
      <c r="D5" s="0"/>
      <c r="E5" s="6" t="n">
        <v>1</v>
      </c>
      <c r="F5" s="0" t="s">
        <v>100</v>
      </c>
      <c r="G5" s="0"/>
      <c r="H5" s="6" t="n">
        <v>1</v>
      </c>
      <c r="I5" s="0" t="s">
        <v>100</v>
      </c>
      <c r="J5" s="0"/>
      <c r="K5" s="6" t="n">
        <v>100</v>
      </c>
      <c r="L5" s="0" t="s">
        <v>100</v>
      </c>
      <c r="M5" s="0"/>
      <c r="N5" s="6" t="n">
        <v>195</v>
      </c>
      <c r="O5" s="0" t="s">
        <v>100</v>
      </c>
      <c r="P5" s="0"/>
      <c r="Q5" s="6" t="n">
        <v>1</v>
      </c>
      <c r="R5" s="0" t="s">
        <v>100</v>
      </c>
    </row>
    <row collapsed="false" customFormat="false" customHeight="false" hidden="false" ht="12.1" outlineLevel="0" r="6">
      <c r="A6" s="0"/>
      <c r="B6" s="5" t="s">
        <f>=B5*(ABS(B4)-ABS(B3))</f>
      </c>
      <c r="C6" s="0" t="s">
        <v>101</v>
      </c>
      <c r="D6" s="0"/>
      <c r="E6" s="5" t="s">
        <f>=E5*(ABS(E4)-ABS(E3))</f>
      </c>
      <c r="F6" s="0" t="s">
        <v>101</v>
      </c>
      <c r="G6" s="0"/>
      <c r="H6" s="5" t="s">
        <f>=H5*(ABS(H4)-ABS(H3))</f>
      </c>
      <c r="I6" s="0" t="s">
        <v>101</v>
      </c>
      <c r="J6" s="0"/>
      <c r="K6" s="5" t="s">
        <f>=K5*(ABS(K4)-ABS(K3))</f>
      </c>
      <c r="L6" s="0" t="s">
        <v>101</v>
      </c>
      <c r="M6" s="0"/>
      <c r="N6" s="5" t="s">
        <f>=N5*(ABS(N4)-ABS(N3))</f>
      </c>
      <c r="O6" s="0" t="s">
        <v>101</v>
      </c>
      <c r="P6" s="0"/>
      <c r="Q6" s="6" t="s">
        <f>=Портфель!G9*Портфель!$Q$13</f>
      </c>
      <c r="R6" s="0" t="s">
        <v>6</v>
      </c>
    </row>
    <row collapsed="false" customFormat="false" customHeight="false" hidden="false" ht="12.1" outlineLevel="0" r="7">
      <c r="A7" s="0"/>
      <c r="B7" s="0"/>
      <c r="C7" s="0"/>
      <c r="D7" s="0"/>
      <c r="E7" s="0"/>
      <c r="F7" s="0"/>
      <c r="G7" s="0"/>
      <c r="H7" s="0"/>
      <c r="I7" s="0"/>
      <c r="J7" s="0"/>
      <c r="K7" s="0"/>
      <c r="L7" s="0"/>
      <c r="M7" s="0"/>
      <c r="N7" s="0"/>
      <c r="O7" s="0"/>
      <c r="P7" s="0"/>
      <c r="Q7" s="6" t="s">
        <f>=Портфель!H9*Портфель!$Q$13</f>
      </c>
      <c r="R7" s="0" t="s">
        <v>7</v>
      </c>
    </row>
    <row collapsed="false" customFormat="false" customHeight="false" hidden="false" ht="12.1" outlineLevel="0" r="8">
      <c r="A8" s="0"/>
      <c r="B8" s="0"/>
      <c r="C8" s="0"/>
      <c r="D8" s="0"/>
      <c r="E8" s="0"/>
      <c r="F8" s="0"/>
      <c r="G8" s="0"/>
      <c r="H8" s="0"/>
      <c r="I8" s="0"/>
      <c r="J8" s="0"/>
      <c r="K8" s="0"/>
      <c r="L8" s="0"/>
      <c r="M8" s="0"/>
      <c r="N8" s="0"/>
      <c r="O8" s="0"/>
      <c r="P8" s="0"/>
      <c r="Q8" s="5" t="s">
        <f>=Q5*(Q6*Q4/100-Q3+Q7)</f>
      </c>
      <c r="R8" s="0" t="s">
        <v>101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1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3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0" customWidth="1"/>
    <col min="12" max="12" width="10" customWidth="1"/>
    <col min="13" max="13" width="15" customWidth="1"/>
    <col min="14" max="14" width="15" customWidth="1"/>
    <col min="15" max="15" width="15" customWidth="1"/>
    <col min="16" max="16" width="15" customWidth="1"/>
    <col min="17" max="17" width="15" customWidth="1"/>
    <col min="18" max="18" width="15" customWidth="1"/>
    <col min="19" max="19" width="15" customWidth="1"/>
  </cols>
  <sheetData>
    <row collapsed="false" customFormat="false" customHeight="false" hidden="false" ht="12.1" outlineLevel="0" r="1">
      <c r="A1" s="18" t="s">
        <v>54</v>
      </c>
      <c r="B1" s="18" t="s">
        <v>0</v>
      </c>
      <c r="C1" s="18" t="s">
        <v>2</v>
      </c>
      <c r="D1" s="18" t="s">
        <v>102</v>
      </c>
      <c r="E1" s="18" t="s">
        <v>1</v>
      </c>
      <c r="F1" s="18" t="s">
        <v>3</v>
      </c>
      <c r="G1" s="18" t="s">
        <v>4</v>
      </c>
      <c r="H1" s="18" t="s">
        <v>5</v>
      </c>
      <c r="I1" s="18" t="s">
        <v>9</v>
      </c>
      <c r="J1" s="18" t="s">
        <v>7</v>
      </c>
      <c r="K1" s="18" t="s">
        <v>103</v>
      </c>
      <c r="L1" s="18" t="s">
        <v>104</v>
      </c>
      <c r="M1" s="18" t="s">
        <v>19</v>
      </c>
      <c r="N1" s="18" t="s">
        <v>105</v>
      </c>
    </row>
    <row collapsed="false" customFormat="false" customHeight="false" hidden="false" ht="12.1" outlineLevel="0" r="2">
      <c r="A2" s="21" t="n">
        <v>45749</v>
      </c>
      <c r="B2" s="22" t="s">
        <v>106</v>
      </c>
      <c r="C2" s="22" t="s">
        <v>61</v>
      </c>
      <c r="D2" s="22" t="s">
        <v>106</v>
      </c>
      <c r="E2" s="22" t="s">
        <v>106</v>
      </c>
      <c r="F2" s="22" t="s">
        <v>19</v>
      </c>
      <c r="G2" s="23" t="n">
        <v>1</v>
      </c>
      <c r="H2" s="24" t="n">
        <v>3000</v>
      </c>
      <c r="I2" s="24" t="n">
        <v>3000</v>
      </c>
      <c r="J2" s="24" t="n">
        <v>0</v>
      </c>
      <c r="K2" s="24" t="n">
        <v>-0</v>
      </c>
      <c r="L2" s="24" t="n">
        <v>-0</v>
      </c>
      <c r="M2" s="6" t="s">
        <f>=I2+J2+K2+L2</f>
      </c>
      <c r="N2" s="22"/>
    </row>
    <row collapsed="false" customFormat="false" customHeight="false" hidden="false" ht="12.1" outlineLevel="0" r="3">
      <c r="A3" s="20" t="n">
        <v>45751.4496875</v>
      </c>
      <c r="B3" s="16" t="s">
        <v>32</v>
      </c>
      <c r="C3" s="16" t="s">
        <v>107</v>
      </c>
      <c r="D3" s="16" t="s">
        <v>90</v>
      </c>
      <c r="E3" s="16" t="s">
        <v>33</v>
      </c>
      <c r="F3" s="16" t="s">
        <v>19</v>
      </c>
      <c r="G3" s="7" t="n">
        <v>195</v>
      </c>
      <c r="H3" s="6" t="n">
        <v>15.3305</v>
      </c>
      <c r="I3" s="6" t="n">
        <v>-2989.45</v>
      </c>
      <c r="J3" s="6" t="n">
        <v>-0</v>
      </c>
      <c r="K3" s="6" t="n">
        <v>-0</v>
      </c>
      <c r="L3" s="6" t="n">
        <v>-0.9</v>
      </c>
      <c r="M3" s="6" t="s">
        <f>=I3+J3+K3+L3</f>
      </c>
      <c r="N3" s="16"/>
    </row>
    <row collapsed="false" customFormat="false" customHeight="false" hidden="false" ht="12.1" outlineLevel="0" r="4">
      <c r="A4" s="21" t="n">
        <v>45762</v>
      </c>
      <c r="B4" s="22" t="s">
        <v>106</v>
      </c>
      <c r="C4" s="22" t="s">
        <v>61</v>
      </c>
      <c r="D4" s="22" t="s">
        <v>106</v>
      </c>
      <c r="E4" s="22" t="s">
        <v>106</v>
      </c>
      <c r="F4" s="22" t="s">
        <v>19</v>
      </c>
      <c r="G4" s="23" t="n">
        <v>1</v>
      </c>
      <c r="H4" s="24" t="n">
        <v>5200</v>
      </c>
      <c r="I4" s="24" t="n">
        <v>5200</v>
      </c>
      <c r="J4" s="24" t="n">
        <v>0</v>
      </c>
      <c r="K4" s="24" t="n">
        <v>-0</v>
      </c>
      <c r="L4" s="24" t="n">
        <v>-0</v>
      </c>
      <c r="M4" s="6" t="s">
        <f>=I4+J4+K4+L4</f>
      </c>
      <c r="N4" s="22"/>
    </row>
    <row collapsed="false" customFormat="false" customHeight="false" hidden="false" ht="12.1" outlineLevel="0" r="5">
      <c r="A5" s="20" t="n">
        <v>45762.623657407</v>
      </c>
      <c r="B5" s="16" t="s">
        <v>16</v>
      </c>
      <c r="C5" s="16" t="s">
        <v>108</v>
      </c>
      <c r="D5" s="16" t="s">
        <v>90</v>
      </c>
      <c r="E5" s="16" t="s">
        <v>17</v>
      </c>
      <c r="F5" s="16" t="s">
        <v>19</v>
      </c>
      <c r="G5" s="7" t="n">
        <v>1</v>
      </c>
      <c r="H5" s="6" t="n">
        <v>4133</v>
      </c>
      <c r="I5" s="6" t="n">
        <v>-4133</v>
      </c>
      <c r="J5" s="6" t="n">
        <v>-0</v>
      </c>
      <c r="K5" s="6" t="n">
        <v>-12.4</v>
      </c>
      <c r="L5" s="6" t="n">
        <v>-1.24</v>
      </c>
      <c r="M5" s="6" t="s">
        <f>=I5+J5+K5+L5</f>
      </c>
      <c r="N5" s="16"/>
    </row>
    <row collapsed="false" customFormat="false" customHeight="false" hidden="false" ht="12.1" outlineLevel="0" r="6">
      <c r="A6" s="21" t="n">
        <v>45768</v>
      </c>
      <c r="B6" s="22" t="s">
        <v>106</v>
      </c>
      <c r="C6" s="22" t="s">
        <v>61</v>
      </c>
      <c r="D6" s="22" t="s">
        <v>106</v>
      </c>
      <c r="E6" s="22" t="s">
        <v>106</v>
      </c>
      <c r="F6" s="22" t="s">
        <v>19</v>
      </c>
      <c r="G6" s="23" t="n">
        <v>1</v>
      </c>
      <c r="H6" s="24" t="n">
        <v>3400</v>
      </c>
      <c r="I6" s="24" t="n">
        <v>3400</v>
      </c>
      <c r="J6" s="24" t="n">
        <v>0</v>
      </c>
      <c r="K6" s="24" t="n">
        <v>-0</v>
      </c>
      <c r="L6" s="24" t="n">
        <v>-0</v>
      </c>
      <c r="M6" s="6" t="s">
        <f>=I6+J6+K6+L6</f>
      </c>
      <c r="N6" s="22"/>
    </row>
    <row collapsed="false" customFormat="false" customHeight="false" hidden="false" ht="12.1" outlineLevel="0" r="7">
      <c r="A7" s="20" t="n">
        <v>45768.416851852</v>
      </c>
      <c r="B7" s="16" t="s">
        <v>21</v>
      </c>
      <c r="C7" s="16" t="s">
        <v>109</v>
      </c>
      <c r="D7" s="16" t="s">
        <v>90</v>
      </c>
      <c r="E7" s="16" t="s">
        <v>17</v>
      </c>
      <c r="F7" s="16" t="s">
        <v>19</v>
      </c>
      <c r="G7" s="7" t="n">
        <v>1</v>
      </c>
      <c r="H7" s="6" t="n">
        <v>3369.5</v>
      </c>
      <c r="I7" s="6" t="n">
        <v>-3369.5</v>
      </c>
      <c r="J7" s="6" t="n">
        <v>-0</v>
      </c>
      <c r="K7" s="6" t="n">
        <v>-10.11</v>
      </c>
      <c r="L7" s="6" t="n">
        <v>-0</v>
      </c>
      <c r="M7" s="6" t="s">
        <f>=I7+J7+K7+L7</f>
      </c>
      <c r="N7" s="16"/>
    </row>
    <row collapsed="false" customFormat="false" customHeight="false" hidden="false" ht="12.1" outlineLevel="0" r="8">
      <c r="A8" s="20" t="n">
        <v>45768.576956019</v>
      </c>
      <c r="B8" s="16" t="s">
        <v>38</v>
      </c>
      <c r="C8" s="16" t="s">
        <v>110</v>
      </c>
      <c r="D8" s="16" t="s">
        <v>90</v>
      </c>
      <c r="E8" s="16" t="s">
        <v>39</v>
      </c>
      <c r="F8" s="16" t="s">
        <v>19</v>
      </c>
      <c r="G8" s="7" t="n">
        <v>1</v>
      </c>
      <c r="H8" s="6" t="n">
        <v>100</v>
      </c>
      <c r="I8" s="6" t="n">
        <v>-1000</v>
      </c>
      <c r="J8" s="6" t="n">
        <v>-0</v>
      </c>
      <c r="K8" s="6" t="n">
        <v>-1</v>
      </c>
      <c r="L8" s="6" t="n">
        <v>-0</v>
      </c>
      <c r="M8" s="6" t="s">
        <f>=I8+J8+K8+L8</f>
      </c>
      <c r="N8" s="16"/>
    </row>
    <row collapsed="false" customFormat="false" customHeight="false" hidden="false" ht="12.1" outlineLevel="0" r="9">
      <c r="A9" s="21" t="n">
        <v>45770</v>
      </c>
      <c r="B9" s="22" t="s">
        <v>106</v>
      </c>
      <c r="C9" s="22" t="s">
        <v>61</v>
      </c>
      <c r="D9" s="22" t="s">
        <v>106</v>
      </c>
      <c r="E9" s="22" t="s">
        <v>106</v>
      </c>
      <c r="F9" s="22" t="s">
        <v>19</v>
      </c>
      <c r="G9" s="23" t="n">
        <v>1</v>
      </c>
      <c r="H9" s="24" t="n">
        <v>1000</v>
      </c>
      <c r="I9" s="24" t="n">
        <v>1000</v>
      </c>
      <c r="J9" s="24" t="n">
        <v>0</v>
      </c>
      <c r="K9" s="24" t="n">
        <v>-0</v>
      </c>
      <c r="L9" s="24" t="n">
        <v>-0</v>
      </c>
      <c r="M9" s="6" t="s">
        <f>=I9+J9+K9+L9</f>
      </c>
      <c r="N9" s="22"/>
    </row>
    <row collapsed="false" customFormat="false" customHeight="false" hidden="false" ht="12.1" outlineLevel="0" r="10">
      <c r="A10" s="20" t="n">
        <v>45770.983518519</v>
      </c>
      <c r="B10" s="16" t="s">
        <v>27</v>
      </c>
      <c r="C10" s="16" t="s">
        <v>111</v>
      </c>
      <c r="D10" s="16" t="s">
        <v>90</v>
      </c>
      <c r="E10" s="16" t="s">
        <v>17</v>
      </c>
      <c r="F10" s="16" t="s">
        <v>19</v>
      </c>
      <c r="G10" s="7" t="n">
        <v>100</v>
      </c>
      <c r="H10" s="6" t="n">
        <v>9.43</v>
      </c>
      <c r="I10" s="6" t="n">
        <v>-943</v>
      </c>
      <c r="J10" s="6" t="n">
        <v>-0</v>
      </c>
      <c r="K10" s="6" t="n">
        <v>-2.83</v>
      </c>
      <c r="L10" s="6" t="n">
        <v>-0.28</v>
      </c>
      <c r="M10" s="6" t="s">
        <f>=I10+J10+K10+L10</f>
      </c>
      <c r="N10" s="16"/>
    </row>
    <row collapsed="false" customFormat="false" customHeight="false" hidden="false" ht="12.1" outlineLevel="0" r="11">
      <c r="A11" s="21" t="n">
        <v>45772</v>
      </c>
      <c r="B11" s="22" t="s">
        <v>106</v>
      </c>
      <c r="C11" s="22" t="s">
        <v>61</v>
      </c>
      <c r="D11" s="22" t="s">
        <v>106</v>
      </c>
      <c r="E11" s="22" t="s">
        <v>106</v>
      </c>
      <c r="F11" s="22" t="s">
        <v>19</v>
      </c>
      <c r="G11" s="23" t="n">
        <v>1</v>
      </c>
      <c r="H11" s="24" t="n">
        <v>1300</v>
      </c>
      <c r="I11" s="24" t="n">
        <v>1300</v>
      </c>
      <c r="J11" s="24" t="n">
        <v>0</v>
      </c>
      <c r="K11" s="24" t="n">
        <v>-0</v>
      </c>
      <c r="L11" s="24" t="n">
        <v>-0</v>
      </c>
      <c r="M11" s="6" t="s">
        <f>=I11+J11+K11+L11</f>
      </c>
      <c r="N11" s="22"/>
    </row>
    <row collapsed="false" customFormat="false" customHeight="false" hidden="false" ht="12.1" outlineLevel="0" r="12">
      <c r="A12" s="20" t="n">
        <v>45772.773738426</v>
      </c>
      <c r="B12" s="16" t="s">
        <v>24</v>
      </c>
      <c r="C12" s="16" t="s">
        <v>112</v>
      </c>
      <c r="D12" s="16" t="s">
        <v>90</v>
      </c>
      <c r="E12" s="16" t="s">
        <v>17</v>
      </c>
      <c r="F12" s="16" t="s">
        <v>19</v>
      </c>
      <c r="G12" s="7" t="n">
        <v>1</v>
      </c>
      <c r="H12" s="6" t="n">
        <v>1293.6</v>
      </c>
      <c r="I12" s="6" t="n">
        <v>-1293.6</v>
      </c>
      <c r="J12" s="6" t="n">
        <v>-0</v>
      </c>
      <c r="K12" s="6" t="n">
        <v>-3.88</v>
      </c>
      <c r="L12" s="6" t="n">
        <v>-0.38</v>
      </c>
      <c r="M12" s="6" t="s">
        <f>=I12+J12+K12+L12</f>
      </c>
      <c r="N12" s="16"/>
    </row>
    <row collapsed="false" customFormat="false" customHeight="false" hidden="false" ht="12.1" outlineLevel="0" r="13">
      <c r="A13" s="21" t="n">
        <v>45777</v>
      </c>
      <c r="B13" s="22" t="s">
        <v>113</v>
      </c>
      <c r="C13" s="22" t="s">
        <v>114</v>
      </c>
      <c r="D13" s="22" t="s">
        <v>113</v>
      </c>
      <c r="E13" s="22" t="s">
        <v>113</v>
      </c>
      <c r="F13" s="22" t="s">
        <v>19</v>
      </c>
      <c r="G13" s="23" t="n">
        <v>1</v>
      </c>
      <c r="H13" s="24" t="n">
        <v>70</v>
      </c>
      <c r="I13" s="24" t="n">
        <v>70</v>
      </c>
      <c r="J13" s="24" t="n">
        <v>0</v>
      </c>
      <c r="K13" s="24" t="n">
        <v>-0</v>
      </c>
      <c r="L13" s="24" t="n">
        <v>-0</v>
      </c>
      <c r="M13" s="6" t="s">
        <f>=I13+J13+K13+L13</f>
      </c>
      <c r="N13" s="22"/>
    </row>
    <row collapsed="false" customFormat="false" customHeight="false" hidden="false" ht="12.1" outlineLevel="0" r="14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 t="s">
        <v>115</v>
      </c>
      <c r="M14" s="5" t="s">
        <f>=SUM(M2:M13)</f>
      </c>
      <c r="N14" s="4"/>
    </row>
  </sheetData>
  <autoFilter ref="A1:N14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1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</cols>
  <sheetData>
    <row collapsed="false" customFormat="false" customHeight="false" hidden="false" ht="12.1" outlineLevel="0" r="1">
      <c r="A1" s="26" t="s">
        <v>54</v>
      </c>
      <c r="B1" s="26" t="s">
        <v>116</v>
      </c>
      <c r="C1" s="26" t="s">
        <v>0</v>
      </c>
      <c r="D1" s="26" t="s">
        <v>2</v>
      </c>
      <c r="E1" s="26" t="s">
        <v>117</v>
      </c>
      <c r="F1" s="26" t="s">
        <v>3</v>
      </c>
      <c r="G1" s="26" t="s">
        <v>118</v>
      </c>
      <c r="H1" s="26" t="s">
        <v>119</v>
      </c>
      <c r="I1" s="26" t="s">
        <v>120</v>
      </c>
      <c r="J1" s="26" t="s">
        <v>121</v>
      </c>
      <c r="K1" s="26" t="s">
        <v>122</v>
      </c>
      <c r="L1" s="26" t="s">
        <v>123</v>
      </c>
      <c r="M1" s="26" t="s">
        <v>124</v>
      </c>
      <c r="N1" s="26" t="s">
        <v>125</v>
      </c>
    </row>
    <row collapsed="false" customFormat="false" customHeight="false" hidden="false" ht="12.1" outlineLevel="0" r="2">
      <c r="A2" s="25" t="n">
        <v>45775</v>
      </c>
      <c r="B2" s="16" t="s">
        <v>126</v>
      </c>
      <c r="C2" s="16" t="s">
        <v>16</v>
      </c>
      <c r="D2" s="16" t="s">
        <v>18</v>
      </c>
      <c r="E2" s="7" t="n">
        <v>1</v>
      </c>
      <c r="F2" s="16" t="s">
        <v>19</v>
      </c>
      <c r="G2" s="6" t="n">
        <v>80</v>
      </c>
      <c r="H2" s="6" t="n">
        <v>4283</v>
      </c>
      <c r="I2" s="6" t="n">
        <v>4146.64</v>
      </c>
      <c r="J2" s="6" t="n">
        <v>10</v>
      </c>
      <c r="K2" s="6" t="n">
        <v>80</v>
      </c>
      <c r="L2" s="6" t="n">
        <v>70</v>
      </c>
      <c r="M2" s="6" t="n">
        <v>1.69</v>
      </c>
      <c r="N2" s="6" t="n">
        <v>1.63</v>
      </c>
    </row>
    <row collapsed="false" customFormat="false" customHeight="false" hidden="false" ht="12.1" outlineLevel="0" r="3">
      <c r="A3" s="25" t="n">
        <v>45775</v>
      </c>
      <c r="B3" s="16" t="s">
        <v>126</v>
      </c>
      <c r="C3" s="16" t="s">
        <v>24</v>
      </c>
      <c r="D3" s="16" t="s">
        <v>25</v>
      </c>
      <c r="E3" s="7" t="n">
        <v>1</v>
      </c>
      <c r="F3" s="16" t="s">
        <v>19</v>
      </c>
      <c r="G3" s="6" t="n">
        <v>46.65</v>
      </c>
      <c r="H3" s="6" t="n">
        <v>1266.2</v>
      </c>
      <c r="I3" s="6" t="n">
        <v>1297.86</v>
      </c>
      <c r="J3" s="6" t="n">
        <v>6</v>
      </c>
      <c r="K3" s="6" t="n">
        <v>46.65</v>
      </c>
      <c r="L3" s="6" t="n">
        <v>40.65</v>
      </c>
      <c r="M3" s="6" t="n">
        <v>3.13</v>
      </c>
      <c r="N3" s="6" t="n">
        <v>3.21</v>
      </c>
    </row>
    <row collapsed="false" customFormat="false" customHeight="false" hidden="false" ht="12.1" outlineLevel="0" r="4">
      <c r="A4" s="25" t="n">
        <v>45847</v>
      </c>
      <c r="B4" s="16" t="s">
        <v>126</v>
      </c>
      <c r="C4" s="16" t="s">
        <v>21</v>
      </c>
      <c r="D4" s="16" t="s">
        <v>22</v>
      </c>
      <c r="E4" s="7" t="n">
        <v>1</v>
      </c>
      <c r="F4" s="16" t="s">
        <v>19</v>
      </c>
      <c r="G4" s="6" t="n">
        <v>648</v>
      </c>
      <c r="H4" s="6" t="n">
        <v>2870.5</v>
      </c>
      <c r="I4" s="6" t="n">
        <v>3379.61</v>
      </c>
      <c r="J4" s="6" t="n">
        <v>84</v>
      </c>
      <c r="K4" s="6" t="n">
        <v>648</v>
      </c>
      <c r="L4" s="6" t="n">
        <v>564</v>
      </c>
      <c r="M4" s="6" t="n">
        <v>16.69</v>
      </c>
      <c r="N4" s="6" t="n">
        <v>19.65</v>
      </c>
    </row>
    <row collapsed="false" customFormat="false" customHeight="false" hidden="false" ht="12.1" outlineLevel="0" r="5">
      <c r="A5" s="25" t="n">
        <v>45852</v>
      </c>
      <c r="B5" s="16" t="s">
        <v>126</v>
      </c>
      <c r="C5" s="16" t="s">
        <v>27</v>
      </c>
      <c r="D5" s="16" t="s">
        <v>28</v>
      </c>
      <c r="E5" s="7" t="n">
        <v>100</v>
      </c>
      <c r="F5" s="16" t="s">
        <v>19</v>
      </c>
      <c r="G5" s="6" t="n">
        <v>0.9573</v>
      </c>
      <c r="H5" s="6" t="n">
        <v>8.565</v>
      </c>
      <c r="I5" s="6" t="n">
        <v>9.46</v>
      </c>
      <c r="J5" s="6" t="n">
        <v>12</v>
      </c>
      <c r="K5" s="6" t="n">
        <v>95.73</v>
      </c>
      <c r="L5" s="6" t="n">
        <v>83.73</v>
      </c>
      <c r="M5" s="6" t="n">
        <v>8.85</v>
      </c>
      <c r="N5" s="6" t="n">
        <v>9.78</v>
      </c>
    </row>
    <row collapsed="false" customFormat="false" customHeight="false" hidden="false" ht="12.1" outlineLevel="0" r="6">
      <c r="A6" s="25" t="n">
        <v>45929</v>
      </c>
      <c r="B6" s="16" t="s">
        <v>126</v>
      </c>
      <c r="C6" s="16" t="s">
        <v>16</v>
      </c>
      <c r="D6" s="16" t="s">
        <v>18</v>
      </c>
      <c r="E6" s="7" t="n">
        <v>1</v>
      </c>
      <c r="F6" s="16" t="s">
        <v>19</v>
      </c>
      <c r="G6" s="6" t="n">
        <v>80</v>
      </c>
      <c r="H6" s="6" t="n">
        <v>3940</v>
      </c>
      <c r="I6" s="6" t="n">
        <v>4146.64</v>
      </c>
      <c r="J6" s="6" t="n">
        <v>10</v>
      </c>
      <c r="K6" s="6" t="n">
        <v>80</v>
      </c>
      <c r="L6" s="6" t="n">
        <v>70</v>
      </c>
      <c r="M6" s="6" t="n">
        <v>1.69</v>
      </c>
      <c r="N6" s="6" t="n">
        <v>1.78</v>
      </c>
    </row>
    <row collapsed="false" customFormat="false" customHeight="false" hidden="false" ht="12.1" outlineLevel="0" r="7">
      <c r="A7" s="25" t="n">
        <v>45936</v>
      </c>
      <c r="B7" s="16" t="s">
        <v>126</v>
      </c>
      <c r="C7" s="16" t="s">
        <v>24</v>
      </c>
      <c r="D7" s="16" t="s">
        <v>25</v>
      </c>
      <c r="E7" s="7" t="n">
        <v>1</v>
      </c>
      <c r="F7" s="16" t="s">
        <v>19</v>
      </c>
      <c r="G7" s="6" t="n">
        <v>35.5</v>
      </c>
      <c r="H7" s="6" t="n">
        <v>1083.2</v>
      </c>
      <c r="I7" s="6" t="n">
        <v>1297.86</v>
      </c>
      <c r="J7" s="6" t="n">
        <v>5</v>
      </c>
      <c r="K7" s="6" t="n">
        <v>35.5</v>
      </c>
      <c r="L7" s="6" t="n">
        <v>30.5</v>
      </c>
      <c r="M7" s="6" t="n">
        <v>2.35</v>
      </c>
      <c r="N7" s="6" t="n">
        <v>2.82</v>
      </c>
    </row>
    <row collapsed="false" customFormat="false" customHeight="false" hidden="false" ht="12.1" outlineLevel="0" r="8">
      <c r="A8" s="25" t="n">
        <v>46028</v>
      </c>
      <c r="B8" s="16" t="s">
        <v>126</v>
      </c>
      <c r="C8" s="16" t="s">
        <v>21</v>
      </c>
      <c r="D8" s="16" t="s">
        <v>22</v>
      </c>
      <c r="E8" s="7" t="n">
        <v>1</v>
      </c>
      <c r="F8" s="16" t="s">
        <v>19</v>
      </c>
      <c r="G8" s="6" t="n">
        <v>368</v>
      </c>
      <c r="H8" s="6" t="n">
        <v>2725.5</v>
      </c>
      <c r="I8" s="6" t="n">
        <v>3379.61</v>
      </c>
      <c r="J8" s="6" t="n">
        <v>48</v>
      </c>
      <c r="K8" s="6" t="n">
        <v>368</v>
      </c>
      <c r="L8" s="6" t="n">
        <v>320</v>
      </c>
      <c r="M8" s="6" t="n">
        <v>9.47</v>
      </c>
      <c r="N8" s="6" t="n">
        <v>11.74</v>
      </c>
    </row>
    <row collapsed="false" customFormat="false" customHeight="false" hidden="false" ht="12.1" outlineLevel="0" r="9">
      <c r="A9" s="25" t="n">
        <v>46125</v>
      </c>
      <c r="B9" s="16" t="s">
        <v>126</v>
      </c>
      <c r="C9" s="16" t="s">
        <v>24</v>
      </c>
      <c r="D9" s="16" t="s">
        <v>25</v>
      </c>
      <c r="E9" s="7" t="n">
        <v>1</v>
      </c>
      <c r="F9" s="16" t="s">
        <v>19</v>
      </c>
      <c r="G9" s="6" t="n">
        <v>47.23</v>
      </c>
      <c r="H9" s="6" t="n">
        <v>1207.5</v>
      </c>
      <c r="I9" s="6" t="n">
        <v>1297.86</v>
      </c>
      <c r="J9" s="6" t="n">
        <v>6</v>
      </c>
      <c r="K9" s="6" t="n">
        <v>47.23</v>
      </c>
      <c r="L9" s="6" t="n">
        <v>41.23</v>
      </c>
      <c r="M9" s="6" t="n">
        <v>3.18</v>
      </c>
      <c r="N9" s="6" t="n">
        <v>3.41</v>
      </c>
    </row>
    <row collapsed="false" customFormat="false" customHeight="false" hidden="false" ht="12.1" outlineLevel="0" r="10">
      <c r="A10" s="25" t="n">
        <v>46139</v>
      </c>
      <c r="B10" s="16" t="s">
        <v>126</v>
      </c>
      <c r="C10" s="16" t="s">
        <v>16</v>
      </c>
      <c r="D10" s="16" t="s">
        <v>18</v>
      </c>
      <c r="E10" s="7" t="n">
        <v>1</v>
      </c>
      <c r="F10" s="16" t="s">
        <v>19</v>
      </c>
      <c r="G10" s="6" t="n">
        <v>110</v>
      </c>
      <c r="H10" s="6" t="n">
        <v>4151</v>
      </c>
      <c r="I10" s="6" t="n">
        <v>4146.64</v>
      </c>
      <c r="J10" s="6" t="n">
        <v>14</v>
      </c>
      <c r="K10" s="6" t="n">
        <v>110</v>
      </c>
      <c r="L10" s="6" t="n">
        <v>96</v>
      </c>
      <c r="M10" s="6" t="n">
        <v>2.32</v>
      </c>
      <c r="N10" s="6" t="n">
        <v>2.31</v>
      </c>
    </row>
    <row collapsed="false" customFormat="false" customHeight="false" hidden="false" ht="12.1" outlineLevel="0" r="11">
      <c r="A11" s="25"/>
      <c r="B11" s="16"/>
      <c r="C11" s="16"/>
      <c r="D11" s="16"/>
      <c r="E11" s="7"/>
      <c r="F11" s="16"/>
      <c r="G11" s="6"/>
      <c r="H11" s="6"/>
      <c r="I11" s="6"/>
      <c r="J11" s="6"/>
      <c r="K11" s="6"/>
      <c r="L11" s="6"/>
      <c r="M11" s="6"/>
      <c r="N11" s="6"/>
    </row>
    <row collapsed="false" customFormat="false" customHeight="false" hidden="false" ht="12.1" outlineLevel="0" r="12">
      <c r="A12" s="25" t="n">
        <v>46210</v>
      </c>
      <c r="B12" s="16" t="s">
        <v>126</v>
      </c>
      <c r="C12" s="16" t="s">
        <v>21</v>
      </c>
      <c r="D12" s="16" t="s">
        <v>22</v>
      </c>
      <c r="E12" s="7" t="n">
        <v>1</v>
      </c>
      <c r="F12" s="16" t="s">
        <v>19</v>
      </c>
      <c r="G12" s="6" t="n">
        <v>245</v>
      </c>
      <c r="H12" s="6" t="n">
        <v>1863.5</v>
      </c>
      <c r="I12" s="6" t="n">
        <v>3379.61</v>
      </c>
      <c r="J12" s="6" t="n">
        <v>32</v>
      </c>
      <c r="K12" s="6" t="n">
        <v>245</v>
      </c>
      <c r="L12" s="6" t="n">
        <v>213</v>
      </c>
      <c r="M12" s="6" t="n">
        <v>6.3</v>
      </c>
      <c r="N12" s="6" t="n">
        <v>11.43</v>
      </c>
    </row>
    <row collapsed="false" customFormat="false" customHeight="false" hidden="false" ht="12.1" outlineLevel="0" r="13">
      <c r="A13" s="25" t="n">
        <v>46216</v>
      </c>
      <c r="B13" s="16" t="s">
        <v>126</v>
      </c>
      <c r="C13" s="16" t="s">
        <v>27</v>
      </c>
      <c r="D13" s="16" t="s">
        <v>28</v>
      </c>
      <c r="E13" s="7" t="n">
        <v>100</v>
      </c>
      <c r="F13" s="16" t="s">
        <v>19</v>
      </c>
      <c r="G13" s="6" t="n">
        <v>1.1448</v>
      </c>
      <c r="H13" s="6" t="n">
        <v>8.295</v>
      </c>
      <c r="I13" s="6" t="n">
        <v>9.46</v>
      </c>
      <c r="J13" s="6" t="n">
        <v>15</v>
      </c>
      <c r="K13" s="6" t="n">
        <v>114.48</v>
      </c>
      <c r="L13" s="6" t="n">
        <v>99.48</v>
      </c>
      <c r="M13" s="6" t="n">
        <v>10.51</v>
      </c>
      <c r="N13" s="6" t="n">
        <v>11.99</v>
      </c>
    </row>
  </sheetData>
  <autoFilter ref="A1:N13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2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</cols>
  <sheetData>
    <row collapsed="false" customFormat="false" customHeight="false" hidden="false" ht="12.1" outlineLevel="0" r="1">
      <c r="A1" s="26" t="s">
        <v>54</v>
      </c>
      <c r="B1" s="26" t="s">
        <v>116</v>
      </c>
      <c r="C1" s="26" t="s">
        <v>0</v>
      </c>
      <c r="D1" s="26" t="s">
        <v>2</v>
      </c>
      <c r="E1" s="26" t="s">
        <v>6</v>
      </c>
      <c r="F1" s="26" t="s">
        <v>117</v>
      </c>
      <c r="G1" s="26" t="s">
        <v>127</v>
      </c>
      <c r="H1" s="26" t="s">
        <v>121</v>
      </c>
      <c r="I1" s="26" t="s">
        <v>122</v>
      </c>
      <c r="J1" s="26" t="s">
        <v>123</v>
      </c>
    </row>
    <row collapsed="false" customFormat="false" customHeight="false" hidden="false" ht="12.1" outlineLevel="0" r="2">
      <c r="A2" s="27" t="n">
        <v>45797</v>
      </c>
      <c r="B2" s="16" t="s">
        <v>126</v>
      </c>
      <c r="C2" s="16" t="s">
        <v>38</v>
      </c>
      <c r="D2" s="16" t="s">
        <v>40</v>
      </c>
      <c r="E2" s="6" t="n">
        <v>1000</v>
      </c>
      <c r="F2" s="7" t="n">
        <v>1</v>
      </c>
      <c r="G2" s="6" t="n">
        <v>18.66</v>
      </c>
      <c r="H2" s="6" t="n">
        <v>2</v>
      </c>
      <c r="I2" s="6" t="n">
        <v>18.66</v>
      </c>
      <c r="J2" s="6" t="n">
        <v>16.66</v>
      </c>
    </row>
    <row collapsed="false" customFormat="false" customHeight="false" hidden="false" ht="12.1" outlineLevel="0" r="3">
      <c r="A3" s="27" t="n">
        <v>45827</v>
      </c>
      <c r="B3" s="16" t="s">
        <v>126</v>
      </c>
      <c r="C3" s="16" t="s">
        <v>38</v>
      </c>
      <c r="D3" s="16" t="s">
        <v>40</v>
      </c>
      <c r="E3" s="6" t="n">
        <v>1000</v>
      </c>
      <c r="F3" s="7" t="n">
        <v>1</v>
      </c>
      <c r="G3" s="6" t="n">
        <v>18.47</v>
      </c>
      <c r="H3" s="6" t="n">
        <v>2</v>
      </c>
      <c r="I3" s="6" t="n">
        <v>18.47</v>
      </c>
      <c r="J3" s="6" t="n">
        <v>16.47</v>
      </c>
    </row>
    <row collapsed="false" customFormat="false" customHeight="false" hidden="false" ht="12.1" outlineLevel="0" r="4">
      <c r="A4" s="27" t="n">
        <v>45857</v>
      </c>
      <c r="B4" s="16" t="s">
        <v>126</v>
      </c>
      <c r="C4" s="16" t="s">
        <v>38</v>
      </c>
      <c r="D4" s="16" t="s">
        <v>40</v>
      </c>
      <c r="E4" s="6" t="n">
        <v>1000</v>
      </c>
      <c r="F4" s="7" t="n">
        <v>1</v>
      </c>
      <c r="G4" s="6" t="n">
        <v>17.84</v>
      </c>
      <c r="H4" s="6" t="n">
        <v>2</v>
      </c>
      <c r="I4" s="6" t="n">
        <v>17.84</v>
      </c>
      <c r="J4" s="6" t="n">
        <v>15.84</v>
      </c>
    </row>
    <row collapsed="false" customFormat="false" customHeight="false" hidden="false" ht="12.1" outlineLevel="0" r="5">
      <c r="A5" s="27" t="n">
        <v>45887</v>
      </c>
      <c r="B5" s="16" t="s">
        <v>126</v>
      </c>
      <c r="C5" s="16" t="s">
        <v>38</v>
      </c>
      <c r="D5" s="16" t="s">
        <v>40</v>
      </c>
      <c r="E5" s="6" t="n">
        <v>1000</v>
      </c>
      <c r="F5" s="7" t="n">
        <v>1</v>
      </c>
      <c r="G5" s="6" t="n">
        <v>16.85</v>
      </c>
      <c r="H5" s="6" t="n">
        <v>2</v>
      </c>
      <c r="I5" s="6" t="n">
        <v>16.85</v>
      </c>
      <c r="J5" s="6" t="n">
        <v>14.85</v>
      </c>
    </row>
    <row collapsed="false" customFormat="false" customHeight="false" hidden="false" ht="12.1" outlineLevel="0" r="6">
      <c r="A6" s="27" t="n">
        <v>45917</v>
      </c>
      <c r="B6" s="16" t="s">
        <v>126</v>
      </c>
      <c r="C6" s="16" t="s">
        <v>38</v>
      </c>
      <c r="D6" s="16" t="s">
        <v>40</v>
      </c>
      <c r="E6" s="6" t="n">
        <v>1000</v>
      </c>
      <c r="F6" s="7" t="n">
        <v>1</v>
      </c>
      <c r="G6" s="6" t="n">
        <v>16.19</v>
      </c>
      <c r="H6" s="6" t="n">
        <v>2</v>
      </c>
      <c r="I6" s="6" t="n">
        <v>16.19</v>
      </c>
      <c r="J6" s="6" t="n">
        <v>14.19</v>
      </c>
    </row>
    <row collapsed="false" customFormat="false" customHeight="false" hidden="false" ht="12.1" outlineLevel="0" r="7">
      <c r="A7" s="27" t="n">
        <v>45947</v>
      </c>
      <c r="B7" s="16" t="s">
        <v>126</v>
      </c>
      <c r="C7" s="16" t="s">
        <v>38</v>
      </c>
      <c r="D7" s="16" t="s">
        <v>40</v>
      </c>
      <c r="E7" s="6" t="n">
        <v>1000</v>
      </c>
      <c r="F7" s="7" t="n">
        <v>1</v>
      </c>
      <c r="G7" s="6" t="n">
        <v>15.4</v>
      </c>
      <c r="H7" s="6" t="n">
        <v>2</v>
      </c>
      <c r="I7" s="6" t="n">
        <v>15.4</v>
      </c>
      <c r="J7" s="6" t="n">
        <v>13.4</v>
      </c>
    </row>
    <row collapsed="false" customFormat="false" customHeight="false" hidden="false" ht="12.1" outlineLevel="0" r="8">
      <c r="A8" s="27" t="n">
        <v>45977</v>
      </c>
      <c r="B8" s="16" t="s">
        <v>126</v>
      </c>
      <c r="C8" s="16" t="s">
        <v>38</v>
      </c>
      <c r="D8" s="16" t="s">
        <v>40</v>
      </c>
      <c r="E8" s="6" t="n">
        <v>1000</v>
      </c>
      <c r="F8" s="7" t="n">
        <v>1</v>
      </c>
      <c r="G8" s="6" t="n">
        <v>15.14</v>
      </c>
      <c r="H8" s="6" t="n">
        <v>2</v>
      </c>
      <c r="I8" s="6" t="n">
        <v>15.14</v>
      </c>
      <c r="J8" s="6" t="n">
        <v>13.14</v>
      </c>
    </row>
    <row collapsed="false" customFormat="false" customHeight="false" hidden="false" ht="12.1" outlineLevel="0" r="9">
      <c r="A9" s="27" t="n">
        <v>46007</v>
      </c>
      <c r="B9" s="16" t="s">
        <v>126</v>
      </c>
      <c r="C9" s="16" t="s">
        <v>38</v>
      </c>
      <c r="D9" s="16" t="s">
        <v>40</v>
      </c>
      <c r="E9" s="6" t="n">
        <v>1000</v>
      </c>
      <c r="F9" s="7" t="n">
        <v>1</v>
      </c>
      <c r="G9" s="6" t="n">
        <v>14.96</v>
      </c>
      <c r="H9" s="6" t="n">
        <v>2</v>
      </c>
      <c r="I9" s="6" t="n">
        <v>14.96</v>
      </c>
      <c r="J9" s="6" t="n">
        <v>12.96</v>
      </c>
    </row>
    <row collapsed="false" customFormat="false" customHeight="false" hidden="false" ht="12.1" outlineLevel="0" r="10">
      <c r="A10" s="27" t="n">
        <v>46037</v>
      </c>
      <c r="B10" s="16" t="s">
        <v>126</v>
      </c>
      <c r="C10" s="16" t="s">
        <v>38</v>
      </c>
      <c r="D10" s="16" t="s">
        <v>40</v>
      </c>
      <c r="E10" s="6" t="n">
        <v>1000</v>
      </c>
      <c r="F10" s="7" t="n">
        <v>1</v>
      </c>
      <c r="G10" s="6" t="n">
        <v>14.67</v>
      </c>
      <c r="H10" s="6" t="n">
        <v>2</v>
      </c>
      <c r="I10" s="6" t="n">
        <v>14.67</v>
      </c>
      <c r="J10" s="6" t="n">
        <v>12.67</v>
      </c>
    </row>
    <row collapsed="false" customFormat="false" customHeight="false" hidden="false" ht="12.1" outlineLevel="0" r="11">
      <c r="A11" s="27" t="n">
        <v>46067</v>
      </c>
      <c r="B11" s="16" t="s">
        <v>126</v>
      </c>
      <c r="C11" s="16" t="s">
        <v>38</v>
      </c>
      <c r="D11" s="16" t="s">
        <v>40</v>
      </c>
      <c r="E11" s="6" t="n">
        <v>1000</v>
      </c>
      <c r="F11" s="7" t="n">
        <v>1</v>
      </c>
      <c r="G11" s="6" t="n">
        <v>14.55</v>
      </c>
      <c r="H11" s="6" t="n">
        <v>2</v>
      </c>
      <c r="I11" s="6" t="n">
        <v>14.55</v>
      </c>
      <c r="J11" s="6" t="n">
        <v>12.55</v>
      </c>
    </row>
    <row collapsed="false" customFormat="false" customHeight="false" hidden="false" ht="12.1" outlineLevel="0" r="12">
      <c r="A12" s="27" t="n">
        <v>46097</v>
      </c>
      <c r="B12" s="16" t="s">
        <v>126</v>
      </c>
      <c r="C12" s="16" t="s">
        <v>38</v>
      </c>
      <c r="D12" s="16" t="s">
        <v>40</v>
      </c>
      <c r="E12" s="6" t="n">
        <v>1000</v>
      </c>
      <c r="F12" s="7" t="n">
        <v>1</v>
      </c>
      <c r="G12" s="6" t="n">
        <v>14.21</v>
      </c>
      <c r="H12" s="6" t="n">
        <v>2</v>
      </c>
      <c r="I12" s="6" t="n">
        <v>14.21</v>
      </c>
      <c r="J12" s="6" t="n">
        <v>12.21</v>
      </c>
    </row>
    <row collapsed="false" customFormat="false" customHeight="false" hidden="false" ht="12.1" outlineLevel="0" r="13">
      <c r="A13" s="27" t="n">
        <v>46127</v>
      </c>
      <c r="B13" s="16" t="s">
        <v>126</v>
      </c>
      <c r="C13" s="16" t="s">
        <v>38</v>
      </c>
      <c r="D13" s="16" t="s">
        <v>40</v>
      </c>
      <c r="E13" s="6" t="n">
        <v>1000</v>
      </c>
      <c r="F13" s="7" t="n">
        <v>1</v>
      </c>
      <c r="G13" s="6" t="n">
        <v>13.86</v>
      </c>
      <c r="H13" s="6" t="n">
        <v>2</v>
      </c>
      <c r="I13" s="6" t="n">
        <v>13.86</v>
      </c>
      <c r="J13" s="6" t="n">
        <v>11.86</v>
      </c>
    </row>
    <row collapsed="false" customFormat="false" customHeight="false" hidden="false" ht="12.1" outlineLevel="0" r="14">
      <c r="A14" s="27" t="n">
        <v>46157</v>
      </c>
      <c r="B14" s="16" t="s">
        <v>126</v>
      </c>
      <c r="C14" s="16" t="s">
        <v>38</v>
      </c>
      <c r="D14" s="16" t="s">
        <v>40</v>
      </c>
      <c r="E14" s="6" t="n">
        <v>1000</v>
      </c>
      <c r="F14" s="7" t="n">
        <v>1</v>
      </c>
      <c r="G14" s="6" t="n">
        <v>13.52</v>
      </c>
      <c r="H14" s="6" t="n">
        <v>2</v>
      </c>
      <c r="I14" s="6" t="n">
        <v>13.52</v>
      </c>
      <c r="J14" s="6" t="n">
        <v>11.52</v>
      </c>
    </row>
    <row collapsed="false" customFormat="false" customHeight="false" hidden="false" ht="12.1" outlineLevel="0" r="15">
      <c r="A15" s="27" t="n">
        <v>46187</v>
      </c>
      <c r="B15" s="16" t="s">
        <v>126</v>
      </c>
      <c r="C15" s="16" t="s">
        <v>38</v>
      </c>
      <c r="D15" s="16" t="s">
        <v>40</v>
      </c>
      <c r="E15" s="6" t="n">
        <v>1000</v>
      </c>
      <c r="F15" s="7" t="n">
        <v>1</v>
      </c>
      <c r="G15" s="6" t="n">
        <v>13.32</v>
      </c>
      <c r="H15" s="6" t="n">
        <v>2</v>
      </c>
      <c r="I15" s="6" t="n">
        <v>13.32</v>
      </c>
      <c r="J15" s="6" t="n">
        <v>11.32</v>
      </c>
    </row>
    <row collapsed="false" customFormat="false" customHeight="false" hidden="false" ht="12.1" outlineLevel="0" r="16">
      <c r="A16" s="27"/>
      <c r="B16" s="16"/>
      <c r="C16" s="16"/>
      <c r="D16" s="16"/>
      <c r="E16" s="6"/>
      <c r="F16" s="7"/>
      <c r="G16" s="6"/>
      <c r="H16" s="6"/>
      <c r="I16" s="6"/>
      <c r="J16" s="6"/>
    </row>
    <row collapsed="false" customFormat="false" customHeight="false" hidden="false" ht="12.1" outlineLevel="0" r="17">
      <c r="A17" s="27" t="n">
        <v>46217</v>
      </c>
      <c r="B17" s="16" t="s">
        <v>126</v>
      </c>
      <c r="C17" s="16" t="s">
        <v>38</v>
      </c>
      <c r="D17" s="16" t="s">
        <v>40</v>
      </c>
      <c r="E17" s="6" t="n">
        <v>1000</v>
      </c>
      <c r="F17" s="7" t="n">
        <v>1</v>
      </c>
      <c r="G17" s="6" t="n">
        <v>13.32</v>
      </c>
      <c r="H17" s="6" t="n">
        <v>2</v>
      </c>
      <c r="I17" s="6" t="n">
        <v>13.32</v>
      </c>
      <c r="J17" s="6" t="n">
        <v>11.32</v>
      </c>
    </row>
    <row collapsed="false" customFormat="false" customHeight="false" hidden="false" ht="12.1" outlineLevel="0" r="18">
      <c r="A18" s="27" t="n">
        <v>46247</v>
      </c>
      <c r="B18" s="16" t="s">
        <v>126</v>
      </c>
      <c r="C18" s="16" t="s">
        <v>38</v>
      </c>
      <c r="D18" s="16" t="s">
        <v>40</v>
      </c>
      <c r="E18" s="6" t="n">
        <v>1000</v>
      </c>
      <c r="F18" s="7" t="n">
        <v>1</v>
      </c>
      <c r="G18" s="6" t="n">
        <v>13.32</v>
      </c>
      <c r="H18" s="6" t="n">
        <v>2</v>
      </c>
      <c r="I18" s="6" t="n">
        <v>13.32</v>
      </c>
      <c r="J18" s="6" t="n">
        <v>11.32</v>
      </c>
    </row>
    <row collapsed="false" customFormat="false" customHeight="false" hidden="false" ht="12.1" outlineLevel="0" r="19">
      <c r="A19" s="27" t="n">
        <v>46277</v>
      </c>
      <c r="B19" s="16" t="s">
        <v>126</v>
      </c>
      <c r="C19" s="16" t="s">
        <v>38</v>
      </c>
      <c r="D19" s="16" t="s">
        <v>40</v>
      </c>
      <c r="E19" s="6" t="n">
        <v>1000</v>
      </c>
      <c r="F19" s="7" t="n">
        <v>1</v>
      </c>
      <c r="G19" s="6" t="n">
        <v>13.32</v>
      </c>
      <c r="H19" s="6" t="n">
        <v>2</v>
      </c>
      <c r="I19" s="6" t="n">
        <v>13.32</v>
      </c>
      <c r="J19" s="6" t="n">
        <v>11.32</v>
      </c>
    </row>
    <row collapsed="false" customFormat="false" customHeight="false" hidden="false" ht="12.1" outlineLevel="0" r="20">
      <c r="A20" s="27" t="n">
        <v>46307</v>
      </c>
      <c r="B20" s="16" t="s">
        <v>126</v>
      </c>
      <c r="C20" s="16" t="s">
        <v>38</v>
      </c>
      <c r="D20" s="16" t="s">
        <v>40</v>
      </c>
      <c r="E20" s="6" t="n">
        <v>1000</v>
      </c>
      <c r="F20" s="7" t="n">
        <v>1</v>
      </c>
      <c r="G20" s="6" t="n">
        <v>13.32</v>
      </c>
      <c r="H20" s="6" t="n">
        <v>2</v>
      </c>
      <c r="I20" s="6" t="n">
        <v>13.32</v>
      </c>
      <c r="J20" s="6" t="n">
        <v>11.32</v>
      </c>
    </row>
    <row collapsed="false" customFormat="false" customHeight="false" hidden="false" ht="12.1" outlineLevel="0" r="21">
      <c r="A21" s="27" t="n">
        <v>46337</v>
      </c>
      <c r="B21" s="16" t="s">
        <v>126</v>
      </c>
      <c r="C21" s="16" t="s">
        <v>38</v>
      </c>
      <c r="D21" s="16" t="s">
        <v>40</v>
      </c>
      <c r="E21" s="6" t="n">
        <v>1000</v>
      </c>
      <c r="F21" s="7" t="n">
        <v>1</v>
      </c>
      <c r="G21" s="6" t="n">
        <v>13.32</v>
      </c>
      <c r="H21" s="6" t="n">
        <v>2</v>
      </c>
      <c r="I21" s="6" t="n">
        <v>13.32</v>
      </c>
      <c r="J21" s="6" t="n">
        <v>11.32</v>
      </c>
    </row>
    <row collapsed="false" customFormat="false" customHeight="false" hidden="false" ht="12.1" outlineLevel="0" r="22">
      <c r="A22" s="27" t="n">
        <v>46367</v>
      </c>
      <c r="B22" s="16" t="s">
        <v>126</v>
      </c>
      <c r="C22" s="16" t="s">
        <v>38</v>
      </c>
      <c r="D22" s="16" t="s">
        <v>40</v>
      </c>
      <c r="E22" s="6" t="n">
        <v>1000</v>
      </c>
      <c r="F22" s="7" t="n">
        <v>1</v>
      </c>
      <c r="G22" s="6" t="n">
        <v>13.32</v>
      </c>
      <c r="H22" s="6" t="n">
        <v>2</v>
      </c>
      <c r="I22" s="6" t="n">
        <v>13.32</v>
      </c>
      <c r="J22" s="6" t="n">
        <v>11.32</v>
      </c>
    </row>
    <row collapsed="false" customFormat="false" customHeight="false" hidden="false" ht="12.1" outlineLevel="0" r="23">
      <c r="A23" s="27" t="n">
        <v>46397</v>
      </c>
      <c r="B23" s="16" t="s">
        <v>126</v>
      </c>
      <c r="C23" s="16" t="s">
        <v>38</v>
      </c>
      <c r="D23" s="16" t="s">
        <v>40</v>
      </c>
      <c r="E23" s="6" t="n">
        <v>1000</v>
      </c>
      <c r="F23" s="7" t="n">
        <v>1</v>
      </c>
      <c r="G23" s="6" t="n">
        <v>13.32</v>
      </c>
      <c r="H23" s="6" t="n">
        <v>2</v>
      </c>
      <c r="I23" s="6" t="n">
        <v>13.32</v>
      </c>
      <c r="J23" s="6" t="n">
        <v>11.32</v>
      </c>
    </row>
    <row collapsed="false" customFormat="false" customHeight="false" hidden="false" ht="12.1" outlineLevel="0" r="24">
      <c r="A24" s="27" t="n">
        <v>46427</v>
      </c>
      <c r="B24" s="16" t="s">
        <v>126</v>
      </c>
      <c r="C24" s="16" t="s">
        <v>38</v>
      </c>
      <c r="D24" s="16" t="s">
        <v>40</v>
      </c>
      <c r="E24" s="6" t="n">
        <v>1000</v>
      </c>
      <c r="F24" s="7" t="n">
        <v>1</v>
      </c>
      <c r="G24" s="6" t="n">
        <v>13.32</v>
      </c>
      <c r="H24" s="6" t="n">
        <v>2</v>
      </c>
      <c r="I24" s="6" t="n">
        <v>13.32</v>
      </c>
      <c r="J24" s="6" t="n">
        <v>11.32</v>
      </c>
    </row>
    <row collapsed="false" customFormat="false" customHeight="false" hidden="false" ht="12.1" outlineLevel="0" r="25">
      <c r="A25" s="27" t="n">
        <v>46457</v>
      </c>
      <c r="B25" s="16" t="s">
        <v>126</v>
      </c>
      <c r="C25" s="16" t="s">
        <v>38</v>
      </c>
      <c r="D25" s="16" t="s">
        <v>40</v>
      </c>
      <c r="E25" s="6" t="n">
        <v>1000</v>
      </c>
      <c r="F25" s="7" t="n">
        <v>1</v>
      </c>
      <c r="G25" s="6" t="n">
        <v>13.32</v>
      </c>
      <c r="H25" s="6" t="n">
        <v>2</v>
      </c>
      <c r="I25" s="6" t="n">
        <v>13.32</v>
      </c>
      <c r="J25" s="6" t="n">
        <v>11.32</v>
      </c>
    </row>
    <row collapsed="false" customFormat="false" customHeight="false" hidden="false" ht="12.1" outlineLevel="0" r="26">
      <c r="A26" s="27" t="n">
        <v>46487</v>
      </c>
      <c r="B26" s="16" t="s">
        <v>126</v>
      </c>
      <c r="C26" s="16" t="s">
        <v>38</v>
      </c>
      <c r="D26" s="16" t="s">
        <v>40</v>
      </c>
      <c r="E26" s="6" t="n">
        <v>1000</v>
      </c>
      <c r="F26" s="7" t="n">
        <v>1</v>
      </c>
      <c r="G26" s="6" t="n">
        <v>13.32</v>
      </c>
      <c r="H26" s="6" t="n">
        <v>2</v>
      </c>
      <c r="I26" s="6" t="n">
        <v>13.32</v>
      </c>
      <c r="J26" s="6" t="n">
        <v>11.32</v>
      </c>
    </row>
  </sheetData>
  <autoFilter ref="A1:J26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5" customWidth="1"/>
    <col min="7" max="7" width="5" customWidth="1"/>
    <col min="8" max="8" width="5" customWidth="1"/>
    <col min="9" max="9" width="10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  <col min="15" max="15" width="15" customWidth="1"/>
  </cols>
  <sheetData>
    <row collapsed="false" customFormat="false" customHeight="false" hidden="false" ht="12.1" outlineLevel="0" r="1">
      <c r="A1" s="26" t="s">
        <v>54</v>
      </c>
      <c r="B1" s="26" t="s">
        <v>116</v>
      </c>
      <c r="C1" s="26" t="s">
        <v>0</v>
      </c>
      <c r="D1" s="26" t="s">
        <v>2</v>
      </c>
      <c r="E1" s="26" t="s">
        <v>117</v>
      </c>
      <c r="F1" s="26" t="s">
        <v>128</v>
      </c>
      <c r="G1" s="26" t="s">
        <v>129</v>
      </c>
      <c r="H1" s="26" t="s">
        <v>58</v>
      </c>
      <c r="I1" s="26" t="s">
        <v>130</v>
      </c>
      <c r="J1" s="26" t="s">
        <v>131</v>
      </c>
      <c r="K1" s="26" t="s">
        <v>132</v>
      </c>
      <c r="L1" s="26" t="s">
        <v>133</v>
      </c>
      <c r="M1" s="26" t="s">
        <v>134</v>
      </c>
      <c r="N1" s="26" t="s">
        <v>135</v>
      </c>
      <c r="O1" s="26" t="s">
        <v>136</v>
      </c>
    </row>
    <row collapsed="false" customFormat="false" customHeight="false" hidden="false" ht="12.1" outlineLevel="0" r="2">
      <c r="A2" s="28" t="n">
        <v>45762</v>
      </c>
      <c r="B2" s="16" t="s">
        <v>126</v>
      </c>
      <c r="C2" s="16" t="s">
        <v>16</v>
      </c>
      <c r="D2" s="16" t="s">
        <v>18</v>
      </c>
      <c r="E2" s="17" t="n">
        <v>1</v>
      </c>
      <c r="F2" s="7" t="s">
        <f>=DATEDIF(A2,$O$2,"y")</f>
      </c>
      <c r="G2" s="7" t="s">
        <f>=DATEDIF(A2,$O$2,"ym")</f>
      </c>
      <c r="H2" s="7" t="s">
        <f>=DATEDIF(A2,$O$2,"md")</f>
      </c>
      <c r="I2" s="7" t="n">
        <v>452</v>
      </c>
      <c r="J2" s="17" t="n">
        <v>4146.64</v>
      </c>
      <c r="K2" s="6" t="s">
        <f>=Портфель!F2*Портфель!$Q$13</f>
      </c>
      <c r="L2" s="6" t="s">
        <f>=E2*K2</f>
      </c>
      <c r="M2" s="6" t="s">
        <f>=(K2-J2)*E2</f>
      </c>
      <c r="N2" s="6" t="s">
        <f>=MAX(0,M2*0.13)</f>
      </c>
      <c r="O2" s="13" t="s">
        <f>=TODAY()</f>
      </c>
    </row>
    <row collapsed="false" customFormat="false" customHeight="false" hidden="false" ht="12.1" outlineLevel="0" r="3">
      <c r="A3" s="28" t="n">
        <v>45768</v>
      </c>
      <c r="B3" s="16" t="s">
        <v>126</v>
      </c>
      <c r="C3" s="16" t="s">
        <v>21</v>
      </c>
      <c r="D3" s="16" t="s">
        <v>22</v>
      </c>
      <c r="E3" s="17" t="n">
        <v>1</v>
      </c>
      <c r="F3" s="7" t="s">
        <f>=DATEDIF(A3,$O$2,"y")</f>
      </c>
      <c r="G3" s="7" t="s">
        <f>=DATEDIF(A3,$O$2,"ym")</f>
      </c>
      <c r="H3" s="7" t="s">
        <f>=DATEDIF(A3,$O$2,"md")</f>
      </c>
      <c r="I3" s="7" t="n">
        <v>446</v>
      </c>
      <c r="J3" s="17" t="n">
        <v>3379.61</v>
      </c>
      <c r="K3" s="6" t="s">
        <f>=Портфель!F3*Портфель!$Q$13</f>
      </c>
      <c r="L3" s="6" t="s">
        <f>=E3*K3</f>
      </c>
      <c r="M3" s="6" t="s">
        <f>=(K3-J3)*E3</f>
      </c>
      <c r="N3" s="6" t="s">
        <f>=MAX(0,M3*0.13)</f>
      </c>
    </row>
    <row collapsed="false" customFormat="false" customHeight="false" hidden="false" ht="12.1" outlineLevel="0" r="4">
      <c r="A4" s="28" t="n">
        <v>45772</v>
      </c>
      <c r="B4" s="16" t="s">
        <v>126</v>
      </c>
      <c r="C4" s="16" t="s">
        <v>24</v>
      </c>
      <c r="D4" s="16" t="s">
        <v>25</v>
      </c>
      <c r="E4" s="17" t="n">
        <v>1</v>
      </c>
      <c r="F4" s="7" t="s">
        <f>=DATEDIF(A4,$O$2,"y")</f>
      </c>
      <c r="G4" s="7" t="s">
        <f>=DATEDIF(A4,$O$2,"ym")</f>
      </c>
      <c r="H4" s="7" t="s">
        <f>=DATEDIF(A4,$O$2,"md")</f>
      </c>
      <c r="I4" s="7" t="n">
        <v>441</v>
      </c>
      <c r="J4" s="17" t="n">
        <v>1297.86</v>
      </c>
      <c r="K4" s="6" t="s">
        <f>=Портфель!F4*Портфель!$Q$13</f>
      </c>
      <c r="L4" s="6" t="s">
        <f>=E4*K4</f>
      </c>
      <c r="M4" s="6" t="s">
        <f>=(K4-J4)*E4</f>
      </c>
      <c r="N4" s="6" t="s">
        <f>=MAX(0,M4*0.13)</f>
      </c>
    </row>
    <row collapsed="false" customFormat="false" customHeight="false" hidden="false" ht="12.1" outlineLevel="0" r="5">
      <c r="A5" s="28" t="n">
        <v>45770</v>
      </c>
      <c r="B5" s="16" t="s">
        <v>126</v>
      </c>
      <c r="C5" s="16" t="s">
        <v>27</v>
      </c>
      <c r="D5" s="16" t="s">
        <v>28</v>
      </c>
      <c r="E5" s="17" t="n">
        <v>100</v>
      </c>
      <c r="F5" s="7" t="s">
        <f>=DATEDIF(A5,$O$2,"y")</f>
      </c>
      <c r="G5" s="7" t="s">
        <f>=DATEDIF(A5,$O$2,"ym")</f>
      </c>
      <c r="H5" s="7" t="s">
        <f>=DATEDIF(A5,$O$2,"md")</f>
      </c>
      <c r="I5" s="7" t="n">
        <v>443</v>
      </c>
      <c r="J5" s="17" t="n">
        <v>9.4611</v>
      </c>
      <c r="K5" s="6" t="s">
        <f>=Портфель!F5*Портфель!$Q$13</f>
      </c>
      <c r="L5" s="6" t="s">
        <f>=E5*K5</f>
      </c>
      <c r="M5" s="6" t="s">
        <f>=(K5-J5)*E5</f>
      </c>
      <c r="N5" s="6" t="s">
        <f>=MAX(0,M5*0.13)</f>
      </c>
    </row>
    <row collapsed="false" customFormat="false" customHeight="false" hidden="false" ht="12.1" outlineLevel="0" r="6">
      <c r="A6" s="28" t="n">
        <v>45751</v>
      </c>
      <c r="B6" s="16" t="s">
        <v>126</v>
      </c>
      <c r="C6" s="16" t="s">
        <v>32</v>
      </c>
      <c r="D6" s="16" t="s">
        <v>34</v>
      </c>
      <c r="E6" s="17" t="n">
        <v>195</v>
      </c>
      <c r="F6" s="7" t="s">
        <f>=DATEDIF(A6,$O$2,"y")</f>
      </c>
      <c r="G6" s="7" t="s">
        <f>=DATEDIF(A6,$O$2,"ym")</f>
      </c>
      <c r="H6" s="7" t="s">
        <f>=DATEDIF(A6,$O$2,"md")</f>
      </c>
      <c r="I6" s="7" t="n">
        <v>463</v>
      </c>
      <c r="J6" s="17" t="n">
        <v>15.335128205128</v>
      </c>
      <c r="K6" s="6" t="s">
        <f>=Портфель!F7*Портфель!$Q$13</f>
      </c>
      <c r="L6" s="6" t="s">
        <f>=E6*K6</f>
      </c>
      <c r="M6" s="6" t="s">
        <f>=(K6-J6)*E6</f>
      </c>
      <c r="N6" s="6" t="s">
        <f>=MAX(0,M6*0.13)</f>
      </c>
    </row>
    <row collapsed="false" customFormat="false" customHeight="false" hidden="false" ht="12.1" outlineLevel="0" r="7">
      <c r="A7" s="28" t="n">
        <v>45768</v>
      </c>
      <c r="B7" s="16" t="s">
        <v>126</v>
      </c>
      <c r="C7" s="16" t="s">
        <v>38</v>
      </c>
      <c r="D7" s="16" t="s">
        <v>40</v>
      </c>
      <c r="E7" s="17" t="n">
        <v>1</v>
      </c>
      <c r="F7" s="7" t="s">
        <f>=DATEDIF(A7,$O$2,"y")</f>
      </c>
      <c r="G7" s="7" t="s">
        <f>=DATEDIF(A7,$O$2,"ym")</f>
      </c>
      <c r="H7" s="7" t="s">
        <f>=DATEDIF(A7,$O$2,"md")</f>
      </c>
      <c r="I7" s="7" t="n">
        <v>446</v>
      </c>
      <c r="J7" s="17" t="n">
        <v>1001</v>
      </c>
      <c r="K7" s="6" t="s">
        <f>=Портфель!F9*Портфель!G9/100*Портфель!$Q$13+Портфель!H9*Портфель!$Q$13</f>
      </c>
      <c r="L7" s="6" t="s">
        <f>=E7*K7</f>
      </c>
      <c r="M7" s="6" t="s">
        <f>=(K7-J7)*E7</f>
      </c>
      <c r="N7" s="6" t="s">
        <f>=MAX(0,M7*0.13)</f>
      </c>
    </row>
    <row collapsed="false" customFormat="false" customHeight="false" hidden="false" ht="12.1" outlineLevel="0" r="8">
      <c r="A8" s="28"/>
      <c r="B8" s="16"/>
      <c r="C8" s="16"/>
      <c r="D8" s="16"/>
      <c r="E8" s="17"/>
      <c r="F8" s="7"/>
      <c r="G8" s="17"/>
      <c r="H8" s="16"/>
      <c r="I8" s="7"/>
      <c r="J8" s="17"/>
      <c r="K8" s="4" t="s">
        <v>49</v>
      </c>
      <c r="L8" s="8" t="s">
        <f>=SUBTOTAL(109,L2:L7)</f>
      </c>
      <c r="M8" s="8" t="s">
        <f>=SUBTOTAL(109,M2:M7)</f>
      </c>
      <c r="N8" s="8" t="s">
        <f>=MAX(0,M8*0.13)</f>
      </c>
    </row>
  </sheetData>
  <autoFilter ref="A1:O6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25" customWidth="1"/>
    <col min="3" max="3" width="1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5" customWidth="1"/>
  </cols>
  <sheetData>
    <row collapsed="false" customFormat="false" customHeight="false" hidden="false" ht="12.1" outlineLevel="0" r="1">
      <c r="A1" s="26" t="s">
        <v>0</v>
      </c>
      <c r="B1" s="26" t="s">
        <v>2</v>
      </c>
      <c r="C1" s="26" t="s">
        <v>137</v>
      </c>
      <c r="D1" s="26" t="s">
        <v>138</v>
      </c>
      <c r="E1" s="26" t="s">
        <v>120</v>
      </c>
      <c r="F1" s="26" t="s">
        <v>139</v>
      </c>
      <c r="G1" s="26" t="s">
        <v>117</v>
      </c>
      <c r="H1" s="26" t="s">
        <v>140</v>
      </c>
      <c r="I1" s="26" t="s">
        <v>141</v>
      </c>
      <c r="J1" s="26" t="s">
        <v>142</v>
      </c>
      <c r="K1" s="26" t="s">
        <v>143</v>
      </c>
    </row>
    <row collapsed="false" customFormat="false" customHeight="false" hidden="false" ht="12.1" outlineLevel="0" r="2">
      <c r="A2" s="16"/>
    </row>
  </sheetData>
  <autoFilter ref="A1:K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2026-07-10T17:07:32.00Z</dcterms:created>
  <dc:creator>izi-invest.ru</dc:creator>
  <cp:revision>0</cp:revision>
</cp:coreProperties>
</file>